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Packages_Profiles/"/>
    </mc:Choice>
  </mc:AlternateContent>
  <xr:revisionPtr revIDLastSave="0" documentId="13_ncr:1_{A5305A9C-A198-C941-8173-09E66171A066}" xr6:coauthVersionLast="47" xr6:coauthVersionMax="47" xr10:uidLastSave="{00000000-0000-0000-0000-000000000000}"/>
  <bookViews>
    <workbookView xWindow="11960" yWindow="500" windowWidth="16260" windowHeight="1874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Worksheet'!$A$1:$K$75</definedName>
    <definedName name="_xlnm.Print_Area" localSheetId="1">'Weight Calc'!$A$1:$G$52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E31" i="17" l="1"/>
  <c r="G30" i="17"/>
  <c r="F30" i="17"/>
  <c r="D30" i="17"/>
  <c r="K62" i="1" l="1"/>
  <c r="K60" i="1"/>
  <c r="K52" i="1"/>
  <c r="K51" i="1"/>
  <c r="K50" i="1"/>
  <c r="K33" i="1"/>
  <c r="K32" i="1"/>
  <c r="K23" i="1"/>
  <c r="E8" i="22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1" i="17"/>
  <c r="F29" i="17"/>
  <c r="F28" i="17"/>
  <c r="F26" i="17"/>
  <c r="F19" i="17"/>
  <c r="D25" i="17"/>
  <c r="D28" i="17"/>
  <c r="D31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2" i="17"/>
  <c r="E34" i="17" s="1"/>
  <c r="K46" i="1"/>
  <c r="K45" i="1"/>
  <c r="K31" i="1"/>
  <c r="K59" i="1"/>
  <c r="K58" i="1"/>
  <c r="K57" i="1"/>
  <c r="K56" i="1"/>
  <c r="K55" i="1"/>
  <c r="K54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30" i="1"/>
  <c r="K53" i="1"/>
  <c r="K29" i="1"/>
  <c r="K44" i="1"/>
  <c r="K28" i="1"/>
  <c r="K41" i="1"/>
  <c r="K21" i="1"/>
  <c r="C49" i="17"/>
  <c r="A140" i="4"/>
  <c r="A82" i="4"/>
  <c r="A72" i="4"/>
  <c r="A51" i="4"/>
  <c r="A32" i="4"/>
  <c r="K43" i="1"/>
  <c r="E14" i="4"/>
  <c r="K39" i="1"/>
  <c r="K63" i="1"/>
  <c r="K49" i="1"/>
  <c r="K48" i="1"/>
  <c r="K47" i="1"/>
  <c r="K42" i="1"/>
  <c r="K40" i="1"/>
  <c r="K38" i="1"/>
  <c r="K36" i="1"/>
  <c r="K35" i="1"/>
  <c r="K27" i="1"/>
  <c r="K26" i="1"/>
  <c r="K25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2" i="17" l="1"/>
  <c r="D34" i="17" s="1"/>
  <c r="K65" i="1"/>
  <c r="K66" i="1" s="1"/>
  <c r="K67" i="1" s="1"/>
  <c r="F32" i="17"/>
  <c r="F34" i="17" s="1"/>
  <c r="K75" i="1" s="1"/>
  <c r="K72" i="1" l="1"/>
  <c r="K74" i="1" s="1"/>
  <c r="K68" i="1"/>
  <c r="K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<sst xmlns="http://schemas.openxmlformats.org/spreadsheetml/2006/main" count="862" uniqueCount="510">
  <si>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</si>
  <si>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</si>
  <si>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</si>
  <si>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</si>
  <si>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</si>
  <si>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</si>
  <si>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</si>
  <si>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</si>
  <si>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</si>
  <si>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</si>
  <si>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</si>
  <si>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</si>
  <si>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</si>
  <si>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</si>
  <si>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</si>
  <si>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</si>
  <si>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</si>
  <si>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</si>
  <si>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</si>
  <si>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</si>
  <si>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</si>
  <si>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</si>
  <si>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</si>
  <si>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</si>
  <si>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</si>
  <si>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</si>
  <si>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</si>
  <si>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</si>
  <si>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</si>
  <si>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</si>
  <si>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</si>
  <si>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</si>
  <si>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</si>
  <si>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</si>
  <si>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</si>
  <si>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</si>
  <si>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</si>
  <si>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</si>
  <si>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</si>
  <si>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</si>
  <si>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</si>
  <si>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</si>
  <si>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</si>
  <si>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</si>
  <si>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</si>
  <si>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</si>
  <si>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</si>
  <si>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</si>
  <si>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</si>
  <si>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</si>
  <si>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</si>
  <si>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</si>
  <si>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</si>
  <si>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</si>
  <si>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</si>
  <si>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</si>
  <si>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</si>
  <si>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</si>
  <si>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</si>
  <si>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</si>
  <si>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</si>
  <si>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</si>
  <si>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</si>
  <si>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</si>
  <si>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</si>
  <si>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</si>
  <si>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</si>
  <si>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</si>
  <si>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</si>
  <si>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</si>
  <si>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</si>
  <si>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</si>
  <si>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</si>
  <si>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</si>
  <si>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</si>
  <si>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</si>
  <si>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</si>
  <si>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</si>
  <si>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</si>
  <si>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</si>
  <si>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</si>
  <si>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</si>
  <si>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</si>
  <si>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</si>
  <si>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</si>
  <si>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</si>
  <si>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</si>
  <si>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</si>
  <si>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</si>
  <si>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</si>
  <si>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</si>
  <si>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</si>
  <si>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</si>
  <si>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</si>
  <si>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</si>
  <si>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</si>
  <si>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</si>
  <si>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</si>
  <si>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</si>
  <si>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</si>
  <si>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</si>
  <si>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</si>
  <si>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</si>
  <si>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</si>
  <si>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</si>
  <si>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</si>
  <si>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</si>
  <si>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</si>
  <si>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</si>
  <si>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</si>
  <si>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</si>
  <si>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</si>
  <si>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</si>
  <si>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</si>
  <si>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</si>
  <si>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</si>
  <si>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</si>
  <si>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</si>
  <si>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</si>
  <si>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</si>
  <si>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</si>
  <si>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</si>
  <si>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</si>
  <si>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</si>
  <si>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</si>
  <si>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</si>
  <si>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</si>
  <si>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</si>
  <si>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</si>
  <si>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</si>
  <si>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</si>
  <si>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</si>
  <si>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</si>
  <si>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</si>
  <si>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</si>
  <si>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</si>
  <si>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</si>
  <si>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</si>
  <si>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</si>
  <si>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</si>
  <si>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</si>
  <si>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</si>
  <si>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</si>
  <si>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</si>
  <si>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</si>
  <si>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</si>
  <si>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</si>
  <si>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</si>
  <si>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</si>
  <si>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</si>
  <si>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</si>
  <si>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</si>
  <si>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</si>
  <si>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</si>
  <si>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</si>
  <si>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</si>
  <si>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</si>
  <si>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</si>
  <si>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</si>
  <si>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</si>
  <si>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</si>
  <si>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</si>
  <si>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</si>
  <si>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</si>
  <si>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</si>
  <si>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</si>
  <si>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</si>
  <si>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</si>
  <si>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</si>
  <si>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</si>
  <si>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</si>
  <si>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</si>
  <si>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</si>
  <si>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</si>
  <si>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</si>
  <si>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</si>
  <si>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</si>
  <si>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</si>
  <si>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</si>
  <si>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</si>
  <si>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</si>
  <si>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</si>
  <si>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</si>
  <si>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</si>
  <si>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</si>
  <si>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</si>
  <si>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</si>
  <si>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</si>
  <si>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</si>
  <si>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</si>
  <si>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</si>
  <si>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</si>
  <si>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</si>
  <si>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</si>
  <si>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</si>
  <si>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</si>
  <si>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</si>
  <si>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</si>
  <si>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</si>
  <si>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</si>
  <si>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</si>
  <si>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</si>
  <si>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</si>
  <si>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</si>
  <si>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</si>
  <si>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</si>
  <si>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</si>
  <si>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</si>
  <si>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</si>
  <si>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</si>
  <si>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</si>
  <si>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</si>
  <si>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</si>
  <si>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</si>
  <si>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</si>
  <si>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</si>
  <si>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</si>
  <si>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</si>
  <si>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</si>
  <si>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</si>
  <si>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</si>
  <si>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</si>
  <si>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</si>
  <si>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</si>
  <si>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</si>
  <si>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</si>
  <si>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</si>
  <si>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</si>
  <si>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</si>
  <si>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</si>
  <si>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</si>
  <si>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</si>
  <si>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</si>
  <si>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</si>
  <si>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</si>
  <si>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</si>
  <si>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</si>
  <si>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</si>
  <si>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</si>
  <si>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</si>
  <si>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</si>
  <si>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</si>
  <si>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</si>
  <si>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</si>
  <si>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</si>
  <si>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</si>
  <si>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</si>
  <si>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</si>
  <si>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</si>
  <si>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</si>
  <si>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</si>
  <si>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</si>
  <si>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</si>
  <si>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</si>
  <si>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</si>
  <si>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</si>
  <si>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</si>
  <si>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</si>
  <si>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</si>
  <si>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</si>
  <si>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</si>
  <si>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</si>
  <si>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</si>
  <si>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</si>
  <si>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</si>
  <si>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</si>
  <si>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</si>
  <si>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</si>
  <si>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</si>
  <si>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</si>
  <si>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</si>
  <si>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</si>
  <si>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</si>
  <si>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</si>
  <si>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</si>
  <si>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</si>
  <si>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</si>
  <si>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</si>
  <si>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</si>
  <si>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</si>
  <si>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</si>
  <si>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</si>
  <si>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</si>
  <si>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</si>
  <si>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</si>
  <si>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</si>
  <si>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</si>
  <si>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</si>
  <si>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</si>
  <si>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</si>
  <si>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</si>
  <si>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</si>
  <si>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</si>
  <si>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</si>
  <si>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</si>
  <si>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</si>
  <si>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</si>
  <si>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</si>
  <si>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</si>
  <si>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</si>
  <si>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</si>
  <si>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</si>
  <si>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</si>
  <si>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</si>
  <si>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</si>
  <si>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</si>
  <si>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</si>
  <si>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</si>
  <si>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</si>
  <si>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</si>
  <si>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</si>
  <si>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</si>
  <si>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</si>
  <si>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</si>
  <si>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</si>
  <si>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</si>
  <si>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</si>
  <si>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</si>
  <si>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</si>
  <si>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</si>
  <si>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</si>
  <si>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</si>
  <si>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</si>
  <si>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</si>
  <si>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</si>
  <si>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</si>
  <si>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</si>
  <si>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</si>
  <si>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</si>
  <si>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</si>
  <si>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</si>
  <si>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</si>
  <si>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</si>
  <si>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</si>
  <si>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</si>
  <si>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</si>
  <si>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</si>
  <si>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</si>
  <si>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</si>
  <si>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</si>
  <si>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</si>
  <si>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</si>
  <si>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</si>
  <si>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</si>
  <si>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</si>
  <si>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</si>
  <si>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</si>
  <si>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</si>
  <si>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</si>
  <si>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</si>
  <si>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</si>
  <si>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</si>
  <si>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</si>
  <si>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</si>
  <si>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</si>
  <si>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</si>
  <si>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</si>
  <si>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Trailer, Battery and Power Options</t>
  </si>
  <si>
    <t>T9</t>
  </si>
  <si>
    <t>Froli</t>
  </si>
  <si>
    <t>DC-DC Charger</t>
  </si>
  <si>
    <t>Slate Gray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</si>
  <si>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</si>
  <si>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</si>
  <si>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</si>
  <si>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</si>
  <si>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</si>
  <si>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</si>
  <si>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</si>
  <si>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</si>
  <si>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</si>
  <si>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</si>
  <si>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</si>
  <si>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</si>
  <si>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</si>
  <si>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</si>
  <si>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</si>
  <si>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</si>
  <si>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</si>
  <si>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</si>
  <si>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</si>
  <si>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</si>
  <si>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</si>
  <si>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</si>
  <si>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</si>
  <si>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</si>
  <si>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</si>
  <si>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</si>
  <si>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</si>
  <si>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</si>
  <si>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</si>
  <si>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</si>
  <si>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</si>
  <si>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</si>
  <si>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</si>
  <si>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</si>
  <si>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</si>
  <si>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</si>
  <si>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</si>
  <si>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</si>
  <si>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</si>
  <si>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</si>
  <si>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</si>
  <si>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</si>
  <si>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</si>
  <si>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</si>
  <si>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</si>
  <si>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</si>
  <si>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</si>
  <si>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</si>
  <si>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</si>
  <si>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</si>
  <si>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</si>
  <si>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</si>
  <si>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</si>
  <si>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</si>
  <si>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</si>
  <si>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</si>
  <si>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</si>
  <si>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</si>
  <si>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</si>
  <si>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</si>
  <si>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</si>
  <si>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</si>
  <si>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</si>
  <si>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</si>
  <si>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</si>
  <si>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</si>
  <si>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</si>
  <si>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</si>
  <si>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</si>
  <si>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</si>
  <si>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</si>
  <si>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</si>
  <si>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</si>
  <si>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</si>
  <si>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</si>
  <si>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</si>
  <si>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</si>
  <si>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</si>
  <si>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</si>
  <si>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</si>
  <si>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</si>
  <si>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</si>
  <si>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</si>
  <si>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</si>
  <si>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</si>
  <si>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</si>
  <si>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</si>
  <si>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</si>
  <si>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</si>
  <si>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</si>
  <si>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</si>
  <si>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</si>
  <si>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</si>
  <si>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</si>
  <si>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</si>
  <si>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</si>
  <si>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</si>
  <si>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</si>
  <si>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</si>
  <si>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</si>
  <si>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</si>
  <si>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</si>
  <si>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</si>
  <si>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</si>
  <si>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</si>
  <si>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</si>
  <si>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</si>
  <si>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</si>
  <si>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</si>
  <si>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</si>
  <si>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</si>
  <si>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</si>
  <si>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</si>
  <si>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G5</t>
  </si>
  <si>
    <t>I8</t>
  </si>
  <si>
    <t>I9</t>
  </si>
  <si>
    <t>Accessibility handles (overhead handles to assist entry/exit)</t>
  </si>
  <si>
    <t>T12</t>
  </si>
  <si>
    <t>T13</t>
  </si>
  <si>
    <t>T18</t>
  </si>
  <si>
    <t>Rock lights (under-trailer multi-color lights with remote)</t>
  </si>
  <si>
    <t>A10</t>
  </si>
  <si>
    <t>A8</t>
  </si>
  <si>
    <t>A9</t>
  </si>
  <si>
    <t>CHOOSE COLOR</t>
  </si>
  <si>
    <t>Upgrade to premium exterior color</t>
  </si>
  <si>
    <t>CHOOSE DESIGN</t>
  </si>
  <si>
    <t>20 Lb. propane tank, regulator and propane hose system</t>
  </si>
  <si>
    <t>Two burner drop-in cooktop with glass cover</t>
  </si>
  <si>
    <t>Rooftop mounted solar system (2 panels = 160 Watt)</t>
  </si>
  <si>
    <t>Ryakima roof rack</t>
  </si>
  <si>
    <t>2025 Version 2.0 - effective 8/4/2025</t>
  </si>
  <si>
    <t>Select design from dropdown =&gt;</t>
  </si>
  <si>
    <t>A11</t>
  </si>
  <si>
    <t>Powered cooler pre-wire - 12V DC outlet in electrical compartment</t>
  </si>
  <si>
    <t>Propane quick-connect under galley countertop (low pressure system)</t>
  </si>
  <si>
    <t>Yakima roof rack - 165lb live/800lb static capacity (track mount Skyline towers w/ round bars)</t>
  </si>
  <si>
    <t>Custom Vistabule teardrop cover (by PahaQue Outdoors)</t>
  </si>
  <si>
    <t>Accessories and Add-ons</t>
  </si>
  <si>
    <t>Ref weights: full H2O tank +68lb; 5 gal propane +20lb</t>
  </si>
  <si>
    <t>full fresh water tank (8 gallons) adds approx 67 lbs</t>
  </si>
  <si>
    <t>full propane tank (5 gallons) adds approx 20 lbs</t>
  </si>
  <si>
    <t>Visit our website to explore base package details or click here</t>
  </si>
  <si>
    <t>Vista-bunk - 80lb capacity (removeable bars span cabin under porthole windows)</t>
  </si>
  <si>
    <t>Galley shelter skirt (gray) - compatible with Gazelle G6 Cooltop gazebo</t>
  </si>
  <si>
    <t>Proven Industries coupler lock</t>
  </si>
  <si>
    <t xml:space="preserve">12V "travel" CPAP pre-wire- 12V DC outlet in bookshelf compartment </t>
  </si>
  <si>
    <t>Minimalist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</si>
</sst>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7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  <font>
      <u/>
      <sz val="18"/>
      <color theme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7" xfId="0" applyFont="1" applyFill="1" applyBorder="1"/>
    <xf numFmtId="0" fontId="12" fillId="5" borderId="18" xfId="0" applyFont="1" applyFill="1" applyBorder="1"/>
    <xf numFmtId="0" fontId="12" fillId="5" borderId="18" xfId="0" applyFont="1" applyFill="1" applyBorder="1" applyAlignment="1">
      <alignment horizontal="right"/>
    </xf>
    <xf numFmtId="14" fontId="12" fillId="5" borderId="18" xfId="0" applyNumberFormat="1" applyFont="1" applyFill="1" applyBorder="1" applyAlignment="1">
      <alignment horizontal="left"/>
    </xf>
    <xf numFmtId="0" fontId="12" fillId="5" borderId="19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165" fontId="28" fillId="0" borderId="24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5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7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9" fillId="2" borderId="26" xfId="0" applyFont="1" applyFill="1" applyBorder="1"/>
    <xf numFmtId="3" fontId="29" fillId="2" borderId="26" xfId="0" applyNumberFormat="1" applyFont="1" applyFill="1" applyBorder="1"/>
    <xf numFmtId="1" fontId="12" fillId="2" borderId="26" xfId="0" applyNumberFormat="1" applyFont="1" applyFill="1" applyBorder="1"/>
    <xf numFmtId="0" fontId="29" fillId="2" borderId="19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6" xfId="0" applyFont="1" applyFill="1" applyBorder="1"/>
    <xf numFmtId="0" fontId="25" fillId="7" borderId="26" xfId="0" applyFont="1" applyFill="1" applyBorder="1" applyProtection="1">
      <protection locked="0"/>
    </xf>
    <xf numFmtId="0" fontId="25" fillId="8" borderId="1" xfId="0" applyFont="1" applyFill="1" applyBorder="1" applyAlignment="1">
      <alignment horizontal="center"/>
    </xf>
    <xf numFmtId="164" fontId="28" fillId="0" borderId="7" xfId="0" applyNumberFormat="1" applyFont="1" applyBorder="1" applyAlignment="1">
      <alignment horizontal="righ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7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6" xfId="0" applyNumberFormat="1" applyFont="1" applyFill="1" applyBorder="1"/>
    <xf numFmtId="165" fontId="3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29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3" borderId="0" xfId="0" applyFont="1" applyFill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0" xfId="0" applyFont="1" applyBorder="1" applyAlignment="1" applyProtection="1">
      <alignment horizontal="left"/>
      <protection locked="0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0" xfId="0" applyNumberFormat="1" applyFont="1" applyFill="1" applyBorder="1" applyAlignment="1">
      <alignment vertical="top"/>
    </xf>
    <xf numFmtId="49" fontId="16" fillId="8" borderId="23" xfId="0" applyNumberFormat="1" applyFont="1" applyFill="1" applyBorder="1" applyAlignment="1">
      <alignment vertical="top"/>
    </xf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23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164" fontId="26" fillId="0" borderId="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164" fontId="27" fillId="3" borderId="19" xfId="0" applyNumberFormat="1" applyFont="1" applyFill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0" xfId="0" applyFont="1" applyBorder="1"/>
    <xf numFmtId="0" fontId="12" fillId="0" borderId="23" xfId="0" applyFont="1" applyBorder="1"/>
    <xf numFmtId="0" fontId="18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3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3" xfId="0" applyFont="1" applyFill="1" applyBorder="1" applyAlignment="1">
      <alignment horizontal="center"/>
    </xf>
    <xf numFmtId="0" fontId="55" fillId="23" borderId="53" xfId="0" applyFont="1" applyFill="1" applyBorder="1" applyAlignment="1">
      <alignment horizontal="center"/>
    </xf>
    <xf numFmtId="0" fontId="55" fillId="24" borderId="53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3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/>
    </xf>
    <xf numFmtId="0" fontId="55" fillId="28" borderId="55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31" xfId="0" applyFont="1" applyBorder="1" applyAlignment="1">
      <alignment horizontal="left" vertical="center"/>
    </xf>
    <xf numFmtId="164" fontId="15" fillId="0" borderId="12" xfId="0" applyNumberFormat="1" applyFont="1" applyBorder="1" applyAlignment="1">
      <alignment horizontal="right" vertical="center" wrapText="1"/>
    </xf>
    <xf numFmtId="164" fontId="12" fillId="0" borderId="31" xfId="0" applyNumberFormat="1" applyFont="1" applyBorder="1" applyAlignment="1">
      <alignment vertical="center"/>
    </xf>
    <xf numFmtId="164" fontId="28" fillId="0" borderId="23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3" borderId="0" xfId="0" applyFont="1" applyFill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9" fillId="0" borderId="3" xfId="0" applyFont="1" applyBorder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31" fillId="0" borderId="30" xfId="0" applyFont="1" applyBorder="1" applyAlignment="1">
      <alignment horizontal="left"/>
    </xf>
    <xf numFmtId="0" fontId="30" fillId="0" borderId="31" xfId="0" applyFont="1" applyBorder="1"/>
    <xf numFmtId="164" fontId="15" fillId="0" borderId="25" xfId="0" applyNumberFormat="1" applyFont="1" applyBorder="1" applyAlignment="1">
      <alignment horizontal="right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28" fillId="3" borderId="3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0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2" xfId="1" applyNumberFormat="1" applyFont="1" applyBorder="1" applyAlignment="1" applyProtection="1">
      <alignment horizontal="left" vertical="center"/>
      <protection locked="0"/>
    </xf>
    <xf numFmtId="0" fontId="29" fillId="8" borderId="1" xfId="0" applyFont="1" applyFill="1" applyBorder="1" applyAlignment="1">
      <alignment horizontal="center" vertical="center"/>
    </xf>
    <xf numFmtId="0" fontId="66" fillId="0" borderId="47" xfId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36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41" xfId="0" applyFont="1" applyFill="1" applyBorder="1" applyAlignment="1">
      <alignment horizontal="left" vertical="center"/>
    </xf>
    <xf numFmtId="0" fontId="28" fillId="3" borderId="44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5" fillId="7" borderId="17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12" fillId="9" borderId="27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left"/>
      <protection locked="0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28" fillId="3" borderId="14" xfId="0" applyFont="1" applyFill="1" applyBorder="1" applyAlignment="1">
      <alignment horizontal="left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0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23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1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2" xfId="0" applyFont="1" applyFill="1" applyBorder="1" applyAlignment="1">
      <alignment horizontal="center"/>
    </xf>
    <xf numFmtId="0" fontId="16" fillId="17" borderId="4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41" xfId="0" applyFont="1" applyFill="1" applyBorder="1" applyAlignment="1">
      <alignment horizontal="center"/>
    </xf>
    <xf numFmtId="0" fontId="47" fillId="3" borderId="4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0" xfId="0" applyFont="1" applyFill="1" applyBorder="1" applyAlignment="1">
      <alignment horizontal="center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49" fontId="42" fillId="3" borderId="18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37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0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47" xfId="0" applyFont="1" applyFill="1" applyBorder="1" applyAlignment="1">
      <alignment horizontal="center" vertical="center"/>
    </xf>
    <xf numFmtId="0" fontId="41" fillId="3" borderId="48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2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0" fontId="43" fillId="13" borderId="22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37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2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6" lockText="1"/>
</file>

<file path=xl/ctrlProps/ctrlProp11.xml><?xml version="1.0" encoding="utf-8"?>
<formControlPr xmlns="http://schemas.microsoft.com/office/spreadsheetml/2009/9/main" objectType="CheckBox" fmlaLink="C29" lockText="1"/>
</file>

<file path=xl/ctrlProps/ctrlProp12.xml><?xml version="1.0" encoding="utf-8"?>
<formControlPr xmlns="http://schemas.microsoft.com/office/spreadsheetml/2009/9/main" objectType="CheckBox" fmlaLink="C35" lockText="1"/>
</file>

<file path=xl/ctrlProps/ctrlProp13.xml><?xml version="1.0" encoding="utf-8"?>
<formControlPr xmlns="http://schemas.microsoft.com/office/spreadsheetml/2009/9/main" objectType="CheckBox" fmlaLink="C36" lockText="1"/>
</file>

<file path=xl/ctrlProps/ctrlProp14.xml><?xml version="1.0" encoding="utf-8"?>
<formControlPr xmlns="http://schemas.microsoft.com/office/spreadsheetml/2009/9/main" objectType="CheckBox" fmlaLink="C40" lockText="1"/>
</file>

<file path=xl/ctrlProps/ctrlProp15.xml><?xml version="1.0" encoding="utf-8"?>
<formControlPr xmlns="http://schemas.microsoft.com/office/spreadsheetml/2009/9/main" objectType="CheckBox" fmlaLink="C42" lockText="1"/>
</file>

<file path=xl/ctrlProps/ctrlProp16.xml><?xml version="1.0" encoding="utf-8"?>
<formControlPr xmlns="http://schemas.microsoft.com/office/spreadsheetml/2009/9/main" objectType="CheckBox" fmlaLink="C47" lockText="1"/>
</file>

<file path=xl/ctrlProps/ctrlProp17.xml><?xml version="1.0" encoding="utf-8"?>
<formControlPr xmlns="http://schemas.microsoft.com/office/spreadsheetml/2009/9/main" objectType="CheckBox" checked="Checked" fmlaLink="C48" lockText="1"/>
</file>

<file path=xl/ctrlProps/ctrlProp18.xml><?xml version="1.0" encoding="utf-8"?>
<formControlPr xmlns="http://schemas.microsoft.com/office/spreadsheetml/2009/9/main" objectType="CheckBox" fmlaLink="C38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9" lockText="1"/>
</file>

<file path=xl/ctrlProps/ctrlProp24.xml><?xml version="1.0" encoding="utf-8"?>
<formControlPr xmlns="http://schemas.microsoft.com/office/spreadsheetml/2009/9/main" objectType="CheckBox" fmlaLink="C45" lockText="1"/>
</file>

<file path=xl/ctrlProps/ctrlProp25.xml><?xml version="1.0" encoding="utf-8"?>
<formControlPr xmlns="http://schemas.microsoft.com/office/spreadsheetml/2009/9/main" objectType="CheckBox" fmlaLink="C27" lockText="1"/>
</file>

<file path=xl/ctrlProps/ctrlProp26.xml><?xml version="1.0" encoding="utf-8"?>
<formControlPr xmlns="http://schemas.microsoft.com/office/spreadsheetml/2009/9/main" objectType="CheckBox" fmlaLink="C43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fmlaLink="C41" lockText="1"/>
</file>

<file path=xl/ctrlProps/ctrlProp29.xml><?xml version="1.0" encoding="utf-8"?>
<formControlPr xmlns="http://schemas.microsoft.com/office/spreadsheetml/2009/9/main" objectType="CheckBox" checked="Checked" fmlaLink="C28" lockText="1"/>
</file>

<file path=xl/ctrlProps/ctrlProp3.xml><?xml version="1.0" encoding="utf-8"?>
<formControlPr xmlns="http://schemas.microsoft.com/office/spreadsheetml/2009/9/main" objectType="CheckBox" fmlaLink="C13" lockText="1"/>
</file>

<file path=xl/ctrlProps/ctrlProp30.xml><?xml version="1.0" encoding="utf-8"?>
<formControlPr xmlns="http://schemas.microsoft.com/office/spreadsheetml/2009/9/main" objectType="CheckBox" fmlaLink="C44" lockText="1"/>
</file>

<file path=xl/ctrlProps/ctrlProp31.xml><?xml version="1.0" encoding="utf-8"?>
<formControlPr xmlns="http://schemas.microsoft.com/office/spreadsheetml/2009/9/main" objectType="CheckBox" fmlaLink="C60" lockText="1"/>
</file>

<file path=xl/ctrlProps/ctrlProp32.xml><?xml version="1.0" encoding="utf-8"?>
<formControlPr xmlns="http://schemas.microsoft.com/office/spreadsheetml/2009/9/main" objectType="CheckBox" fmlaLink="C41" lockText="1"/>
</file>

<file path=xl/ctrlProps/ctrlProp33.xml><?xml version="1.0" encoding="utf-8"?>
<formControlPr xmlns="http://schemas.microsoft.com/office/spreadsheetml/2009/9/main" objectType="CheckBox" fmlaLink="C30" lockText="1"/>
</file>

<file path=xl/ctrlProps/ctrlProp34.xml><?xml version="1.0" encoding="utf-8"?>
<formControlPr xmlns="http://schemas.microsoft.com/office/spreadsheetml/2009/9/main" objectType="CheckBox" fmlaLink="C44" lockText="1"/>
</file>

<file path=xl/ctrlProps/ctrlProp35.xml><?xml version="1.0" encoding="utf-8"?>
<formControlPr xmlns="http://schemas.microsoft.com/office/spreadsheetml/2009/9/main" objectType="CheckBox" checked="Checked" fmlaLink="C54" lockText="1"/>
</file>

<file path=xl/ctrlProps/ctrlProp36.xml><?xml version="1.0" encoding="utf-8"?>
<formControlPr xmlns="http://schemas.microsoft.com/office/spreadsheetml/2009/9/main" objectType="CheckBox" fmlaLink="C55" lockText="1"/>
</file>

<file path=xl/ctrlProps/ctrlProp37.xml><?xml version="1.0" encoding="utf-8"?>
<formControlPr xmlns="http://schemas.microsoft.com/office/spreadsheetml/2009/9/main" objectType="CheckBox" fmlaLink="C56" lockText="1"/>
</file>

<file path=xl/ctrlProps/ctrlProp38.xml><?xml version="1.0" encoding="utf-8"?>
<formControlPr xmlns="http://schemas.microsoft.com/office/spreadsheetml/2009/9/main" objectType="CheckBox" fmlaLink="C57" lockText="1"/>
</file>

<file path=xl/ctrlProps/ctrlProp39.xml><?xml version="1.0" encoding="utf-8"?>
<formControlPr xmlns="http://schemas.microsoft.com/office/spreadsheetml/2009/9/main" objectType="CheckBox" fmlaLink="C58" lockText="1"/>
</file>

<file path=xl/ctrlProps/ctrlProp4.xml><?xml version="1.0" encoding="utf-8"?>
<formControlPr xmlns="http://schemas.microsoft.com/office/spreadsheetml/2009/9/main" objectType="CheckBox" fmlaLink="C14" lockText="1"/>
</file>

<file path=xl/ctrlProps/ctrlProp40.xml><?xml version="1.0" encoding="utf-8"?>
<formControlPr xmlns="http://schemas.microsoft.com/office/spreadsheetml/2009/9/main" objectType="CheckBox" fmlaLink="C59" lockText="1"/>
</file>

<file path=xl/ctrlProps/ctrlProp41.xml><?xml version="1.0" encoding="utf-8"?>
<formControlPr xmlns="http://schemas.microsoft.com/office/spreadsheetml/2009/9/main" objectType="CheckBox" fmlaLink="C31" lockText="1"/>
</file>

<file path=xl/ctrlProps/ctrlProp42.xml><?xml version="1.0" encoding="utf-8"?>
<formControlPr xmlns="http://schemas.microsoft.com/office/spreadsheetml/2009/9/main" objectType="CheckBox" fmlaLink="C39" lockText="1"/>
</file>

<file path=xl/ctrlProps/ctrlProp43.xml><?xml version="1.0" encoding="utf-8"?>
<formControlPr xmlns="http://schemas.microsoft.com/office/spreadsheetml/2009/9/main" objectType="CheckBox" checked="Checked" fmlaLink="C48" lockText="1"/>
</file>

<file path=xl/ctrlProps/ctrlProp44.xml><?xml version="1.0" encoding="utf-8"?>
<formControlPr xmlns="http://schemas.microsoft.com/office/spreadsheetml/2009/9/main" objectType="CheckBox" fmlaLink="C46" lockText="1"/>
</file>

<file path=xl/ctrlProps/ctrlProp45.xml><?xml version="1.0" encoding="utf-8"?>
<formControlPr xmlns="http://schemas.microsoft.com/office/spreadsheetml/2009/9/main" objectType="CheckBox" fmlaLink="C23" lockText="1"/>
</file>

<file path=xl/ctrlProps/ctrlProp46.xml><?xml version="1.0" encoding="utf-8"?>
<formControlPr xmlns="http://schemas.microsoft.com/office/spreadsheetml/2009/9/main" objectType="CheckBox" fmlaLink="C32" lockText="1"/>
</file>

<file path=xl/ctrlProps/ctrlProp47.xml><?xml version="1.0" encoding="utf-8"?>
<formControlPr xmlns="http://schemas.microsoft.com/office/spreadsheetml/2009/9/main" objectType="CheckBox" fmlaLink="C33" lockText="1"/>
</file>

<file path=xl/ctrlProps/ctrlProp48.xml><?xml version="1.0" encoding="utf-8"?>
<formControlPr xmlns="http://schemas.microsoft.com/office/spreadsheetml/2009/9/main" objectType="CheckBox" fmlaLink="C50" lockText="1"/>
</file>

<file path=xl/ctrlProps/ctrlProp49.xml><?xml version="1.0" encoding="utf-8"?>
<formControlPr xmlns="http://schemas.microsoft.com/office/spreadsheetml/2009/9/main" objectType="CheckBox" fmlaLink="C51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50.xml><?xml version="1.0" encoding="utf-8"?>
<formControlPr xmlns="http://schemas.microsoft.com/office/spreadsheetml/2009/9/main" objectType="CheckBox" checked="Checked" fmlaLink="C52" lockText="1"/>
</file>

<file path=xl/ctrlProps/ctrlProp51.xml><?xml version="1.0" encoding="utf-8"?>
<formControlPr xmlns="http://schemas.microsoft.com/office/spreadsheetml/2009/9/main" objectType="CheckBox" fmlaLink="C62" lockText="1"/>
</file>

<file path=xl/ctrlProps/ctrlProp52.xml><?xml version="1.0" encoding="utf-8"?>
<formControlPr xmlns="http://schemas.microsoft.com/office/spreadsheetml/2009/9/main" objectType="CheckBox" fmlaLink="C63" lockText="1"/>
</file>

<file path=xl/ctrlProps/ctrlProp53.xml><?xml version="1.0" encoding="utf-8"?>
<formControlPr xmlns="http://schemas.microsoft.com/office/spreadsheetml/2009/9/main" objectType="CheckBox" fmlaLink="C61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fmlaLink="C2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241300</xdr:rowOff>
        </xdr:from>
        <xdr:to>
          <xdr:col>1</xdr:col>
          <xdr:colOff>558800</xdr:colOff>
          <xdr:row>29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0</xdr:rowOff>
        </xdr:from>
        <xdr:to>
          <xdr:col>1</xdr:col>
          <xdr:colOff>558800</xdr:colOff>
          <xdr:row>35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228600</xdr:rowOff>
        </xdr:from>
        <xdr:to>
          <xdr:col>1</xdr:col>
          <xdr:colOff>558800</xdr:colOff>
          <xdr:row>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0</xdr:rowOff>
        </xdr:from>
        <xdr:to>
          <xdr:col>1</xdr:col>
          <xdr:colOff>558800</xdr:colOff>
          <xdr:row>42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0</xdr:rowOff>
        </xdr:from>
        <xdr:to>
          <xdr:col>1</xdr:col>
          <xdr:colOff>558800</xdr:colOff>
          <xdr:row>47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12700</xdr:rowOff>
        </xdr:from>
        <xdr:to>
          <xdr:col>1</xdr:col>
          <xdr:colOff>558800</xdr:colOff>
          <xdr:row>38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241300</xdr:rowOff>
        </xdr:from>
        <xdr:to>
          <xdr:col>1</xdr:col>
          <xdr:colOff>558800</xdr:colOff>
          <xdr:row>45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228600</xdr:rowOff>
        </xdr:from>
        <xdr:to>
          <xdr:col>1</xdr:col>
          <xdr:colOff>558800</xdr:colOff>
          <xdr:row>28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228600</xdr:rowOff>
        </xdr:from>
        <xdr:to>
          <xdr:col>1</xdr:col>
          <xdr:colOff>558800</xdr:colOff>
          <xdr:row>60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0</xdr:rowOff>
        </xdr:from>
        <xdr:to>
          <xdr:col>1</xdr:col>
          <xdr:colOff>558800</xdr:colOff>
          <xdr:row>54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0</xdr:rowOff>
        </xdr:from>
        <xdr:to>
          <xdr:col>1</xdr:col>
          <xdr:colOff>558800</xdr:colOff>
          <xdr:row>55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0</xdr:rowOff>
        </xdr:from>
        <xdr:to>
          <xdr:col>1</xdr:col>
          <xdr:colOff>558800</xdr:colOff>
          <xdr:row>56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0</xdr:rowOff>
        </xdr:from>
        <xdr:to>
          <xdr:col>1</xdr:col>
          <xdr:colOff>558800</xdr:colOff>
          <xdr:row>57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0</xdr:rowOff>
        </xdr:from>
        <xdr:to>
          <xdr:col>1</xdr:col>
          <xdr:colOff>558800</xdr:colOff>
          <xdr:row>58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228600</xdr:rowOff>
        </xdr:from>
        <xdr:to>
          <xdr:col>1</xdr:col>
          <xdr:colOff>558800</xdr:colOff>
          <xdr:row>59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228600</xdr:rowOff>
        </xdr:from>
        <xdr:to>
          <xdr:col>1</xdr:col>
          <xdr:colOff>558800</xdr:colOff>
          <xdr:row>31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546100</xdr:colOff>
          <xdr:row>39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241300</xdr:rowOff>
        </xdr:from>
        <xdr:to>
          <xdr:col>1</xdr:col>
          <xdr:colOff>558800</xdr:colOff>
          <xdr:row>46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203200</xdr:rowOff>
        </xdr:from>
        <xdr:to>
          <xdr:col>1</xdr:col>
          <xdr:colOff>558800</xdr:colOff>
          <xdr:row>22</xdr:row>
          <xdr:rowOff>228600</xdr:rowOff>
        </xdr:to>
        <xdr:sp macro="" textlink="">
          <xdr:nvSpPr>
            <xdr:cNvPr id="33112" name="Check Box 7512" hidden="1">
              <a:extLst>
                <a:ext uri="{63B3BB69-23CF-44E3-9099-C40C66FF867C}">
                  <a14:compatExt spid="_x0000_s33112"/>
                </a:ext>
                <a:ext uri="{FF2B5EF4-FFF2-40B4-BE49-F238E27FC236}">
                  <a16:creationId xmlns:a16="http://schemas.microsoft.com/office/drawing/2014/main" id="{00000000-0008-0000-0000-00005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203200</xdr:rowOff>
        </xdr:from>
        <xdr:to>
          <xdr:col>1</xdr:col>
          <xdr:colOff>558800</xdr:colOff>
          <xdr:row>31</xdr:row>
          <xdr:rowOff>228600</xdr:rowOff>
        </xdr:to>
        <xdr:sp macro="" textlink="">
          <xdr:nvSpPr>
            <xdr:cNvPr id="33113" name="Check Box 7513" hidden="1">
              <a:extLst>
                <a:ext uri="{63B3BB69-23CF-44E3-9099-C40C66FF867C}">
                  <a14:compatExt spid="_x0000_s33113"/>
                </a:ext>
                <a:ext uri="{FF2B5EF4-FFF2-40B4-BE49-F238E27FC236}">
                  <a16:creationId xmlns:a16="http://schemas.microsoft.com/office/drawing/2014/main" id="{00000000-0008-0000-0000-00005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558800</xdr:colOff>
          <xdr:row>32</xdr:row>
          <xdr:rowOff>215900</xdr:rowOff>
        </xdr:to>
        <xdr:sp macro="" textlink="">
          <xdr:nvSpPr>
            <xdr:cNvPr id="33114" name="Check Box 7514" hidden="1">
              <a:extLst>
                <a:ext uri="{63B3BB69-23CF-44E3-9099-C40C66FF867C}">
                  <a14:compatExt spid="_x0000_s33114"/>
                </a:ext>
                <a:ext uri="{FF2B5EF4-FFF2-40B4-BE49-F238E27FC236}">
                  <a16:creationId xmlns:a16="http://schemas.microsoft.com/office/drawing/2014/main" id="{00000000-0008-0000-0000-00005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33115" name="Check Box 7515" hidden="1">
              <a:extLst>
                <a:ext uri="{63B3BB69-23CF-44E3-9099-C40C66FF867C}">
                  <a14:compatExt spid="_x0000_s33115"/>
                </a:ext>
                <a:ext uri="{FF2B5EF4-FFF2-40B4-BE49-F238E27FC236}">
                  <a16:creationId xmlns:a16="http://schemas.microsoft.com/office/drawing/2014/main" id="{00000000-0008-0000-0000-00005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33116" name="Check Box 7516" hidden="1">
              <a:extLst>
                <a:ext uri="{63B3BB69-23CF-44E3-9099-C40C66FF867C}">
                  <a14:compatExt spid="_x0000_s33116"/>
                </a:ext>
                <a:ext uri="{FF2B5EF4-FFF2-40B4-BE49-F238E27FC236}">
                  <a16:creationId xmlns:a16="http://schemas.microsoft.com/office/drawing/2014/main" id="{00000000-0008-0000-0000-00005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228600</xdr:rowOff>
        </xdr:from>
        <xdr:to>
          <xdr:col>1</xdr:col>
          <xdr:colOff>558800</xdr:colOff>
          <xdr:row>52</xdr:row>
          <xdr:rowOff>0</xdr:rowOff>
        </xdr:to>
        <xdr:sp macro="" textlink="">
          <xdr:nvSpPr>
            <xdr:cNvPr id="33118" name="Check Box 7518" hidden="1">
              <a:extLst>
                <a:ext uri="{63B3BB69-23CF-44E3-9099-C40C66FF867C}">
                  <a14:compatExt spid="_x0000_s33118"/>
                </a:ext>
                <a:ext uri="{FF2B5EF4-FFF2-40B4-BE49-F238E27FC236}">
                  <a16:creationId xmlns:a16="http://schemas.microsoft.com/office/drawing/2014/main" id="{00000000-0008-0000-0000-00005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0</xdr:rowOff>
        </xdr:from>
        <xdr:to>
          <xdr:col>1</xdr:col>
          <xdr:colOff>558800</xdr:colOff>
          <xdr:row>62</xdr:row>
          <xdr:rowOff>12700</xdr:rowOff>
        </xdr:to>
        <xdr:sp macro="" textlink="">
          <xdr:nvSpPr>
            <xdr:cNvPr id="33119" name="Check Box 7519" hidden="1">
              <a:extLst>
                <a:ext uri="{63B3BB69-23CF-44E3-9099-C40C66FF867C}">
                  <a14:compatExt spid="_x0000_s33119"/>
                </a:ext>
                <a:ext uri="{FF2B5EF4-FFF2-40B4-BE49-F238E27FC236}">
                  <a16:creationId xmlns:a16="http://schemas.microsoft.com/office/drawing/2014/main" id="{00000000-0008-0000-0000-00005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228600</xdr:rowOff>
        </xdr:from>
        <xdr:to>
          <xdr:col>1</xdr:col>
          <xdr:colOff>558800</xdr:colOff>
          <xdr:row>63</xdr:row>
          <xdr:rowOff>0</xdr:rowOff>
        </xdr:to>
        <xdr:sp macro="" textlink="">
          <xdr:nvSpPr>
            <xdr:cNvPr id="33120" name="Check Box 7520" hidden="1">
              <a:extLst>
                <a:ext uri="{63B3BB69-23CF-44E3-9099-C40C66FF867C}">
                  <a14:compatExt spid="_x0000_s33120"/>
                </a:ext>
                <a:ext uri="{FF2B5EF4-FFF2-40B4-BE49-F238E27FC236}">
                  <a16:creationId xmlns:a16="http://schemas.microsoft.com/office/drawing/2014/main" id="{00000000-0008-0000-0000-00006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0</xdr:rowOff>
        </xdr:from>
        <xdr:to>
          <xdr:col>1</xdr:col>
          <xdr:colOff>558800</xdr:colOff>
          <xdr:row>61</xdr:row>
          <xdr:rowOff>12700</xdr:rowOff>
        </xdr:to>
        <xdr:sp macro="" textlink="">
          <xdr:nvSpPr>
            <xdr:cNvPr id="33121" name="Check Box 7521" hidden="1">
              <a:extLst>
                <a:ext uri="{63B3BB69-23CF-44E3-9099-C40C66FF867C}">
                  <a14:compatExt spid="_x0000_s33121"/>
                </a:ext>
                <a:ext uri="{FF2B5EF4-FFF2-40B4-BE49-F238E27FC236}">
                  <a16:creationId xmlns:a16="http://schemas.microsoft.com/office/drawing/2014/main" id="{00000000-0008-0000-0000-00006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www.vistabule.com/teardrop-trailers/vistabule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6"/>
  <sheetViews>
    <sheetView showGridLines="0" tabSelected="1" zoomScale="60" zoomScaleNormal="60" workbookViewId="0">
      <selection activeCell="F86" sqref="F86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77" t="s">
        <v>39</v>
      </c>
      <c r="C1" s="278"/>
      <c r="D1" s="278"/>
      <c r="E1" s="279"/>
      <c r="F1" s="279"/>
      <c r="G1" s="279"/>
      <c r="H1" s="279"/>
      <c r="I1" s="279"/>
      <c r="J1" s="279"/>
      <c r="K1" s="280"/>
    </row>
    <row r="2" spans="2:16" ht="20" customHeight="1">
      <c r="B2" s="284" t="s">
        <v>52</v>
      </c>
      <c r="C2" s="285"/>
      <c r="D2" s="285"/>
      <c r="E2" s="285"/>
      <c r="F2" s="290" t="s">
        <v>509</v>
      </c>
      <c r="G2" s="290"/>
      <c r="H2" s="74" t="s">
        <v>53</v>
      </c>
      <c r="I2" s="290"/>
      <c r="J2" s="290"/>
      <c r="K2" s="297"/>
    </row>
    <row r="3" spans="2:16" ht="20" customHeight="1">
      <c r="B3" s="284" t="s">
        <v>66</v>
      </c>
      <c r="C3" s="285"/>
      <c r="D3" s="285"/>
      <c r="E3" s="285"/>
      <c r="F3" s="290"/>
      <c r="G3" s="290"/>
      <c r="H3" s="74" t="s">
        <v>138</v>
      </c>
      <c r="I3" s="281"/>
      <c r="J3" s="282"/>
      <c r="K3" s="283"/>
    </row>
    <row r="4" spans="2:16" ht="20" customHeight="1">
      <c r="B4" s="284" t="s">
        <v>6</v>
      </c>
      <c r="C4" s="285"/>
      <c r="D4" s="285"/>
      <c r="E4" s="285"/>
      <c r="F4" s="290"/>
      <c r="G4" s="290"/>
      <c r="H4" s="74" t="s">
        <v>5</v>
      </c>
      <c r="I4" s="290"/>
      <c r="J4" s="290"/>
      <c r="K4" s="297"/>
    </row>
    <row r="5" spans="2:16" ht="20" customHeight="1">
      <c r="B5" s="284" t="s">
        <v>91</v>
      </c>
      <c r="C5" s="285"/>
      <c r="D5" s="285"/>
      <c r="E5" s="285"/>
      <c r="F5" s="91"/>
      <c r="G5" s="91"/>
      <c r="H5" s="74" t="s">
        <v>42</v>
      </c>
      <c r="I5" s="298"/>
      <c r="J5" s="299"/>
      <c r="K5" s="300"/>
    </row>
    <row r="6" spans="2:16" ht="20" customHeight="1" thickBot="1">
      <c r="B6" s="286" t="s">
        <v>139</v>
      </c>
      <c r="C6" s="287"/>
      <c r="D6" s="287"/>
      <c r="E6" s="287"/>
      <c r="F6" s="294"/>
      <c r="G6" s="294"/>
      <c r="H6" s="75" t="s">
        <v>261</v>
      </c>
      <c r="I6" s="295"/>
      <c r="J6" s="295"/>
      <c r="K6" s="296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idden="1"/>
    <row r="9" spans="2:16" ht="21" thickBot="1"/>
    <row r="10" spans="2:16" s="5" customFormat="1" ht="22" customHeight="1" thickBot="1">
      <c r="B10" s="164"/>
      <c r="C10" s="165" t="b">
        <v>0</v>
      </c>
      <c r="D10" s="165" t="s">
        <v>11</v>
      </c>
      <c r="E10" s="302" t="s">
        <v>504</v>
      </c>
      <c r="F10" s="302"/>
      <c r="G10" s="302"/>
      <c r="H10" s="302"/>
      <c r="I10" s="167" t="s">
        <v>9</v>
      </c>
      <c r="J10" s="168" t="s">
        <v>72</v>
      </c>
      <c r="K10" s="180">
        <v>23995</v>
      </c>
    </row>
    <row r="11" spans="2:16" ht="22" customHeight="1" thickBot="1">
      <c r="B11" s="291" t="s">
        <v>8</v>
      </c>
      <c r="C11" s="292"/>
      <c r="D11" s="292"/>
      <c r="E11" s="292"/>
      <c r="F11" s="292"/>
      <c r="G11" s="292"/>
      <c r="H11" s="292"/>
      <c r="I11" s="292"/>
      <c r="J11" s="293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257" t="b">
        <v>0</v>
      </c>
      <c r="D12" s="15" t="s">
        <v>12</v>
      </c>
      <c r="E12" s="309" t="s">
        <v>490</v>
      </c>
      <c r="F12" s="310"/>
      <c r="G12" s="310"/>
      <c r="H12" s="311"/>
      <c r="I12" s="315" t="s">
        <v>71</v>
      </c>
      <c r="J12" s="259">
        <v>595</v>
      </c>
      <c r="K12" s="37" t="str">
        <f>IF(C12,J12," ")</f>
        <v xml:space="preserve"> </v>
      </c>
      <c r="M12" s="1" t="s">
        <v>486</v>
      </c>
      <c r="N12" s="1" t="s">
        <v>486</v>
      </c>
      <c r="O12" s="1" t="s">
        <v>488</v>
      </c>
      <c r="P12" s="1" t="s">
        <v>147</v>
      </c>
    </row>
    <row r="13" spans="2:16" ht="19" customHeight="1">
      <c r="B13" s="38"/>
      <c r="C13" s="257" t="b">
        <v>0</v>
      </c>
      <c r="D13" s="15" t="s">
        <v>13</v>
      </c>
      <c r="E13" s="306" t="s">
        <v>489</v>
      </c>
      <c r="F13" s="307"/>
      <c r="G13" s="307"/>
      <c r="H13" s="308"/>
      <c r="I13" s="289"/>
      <c r="J13" s="260">
        <v>455</v>
      </c>
      <c r="K13" s="37" t="str">
        <f t="shared" ref="K13:K23" si="0">IF(C13,J13," ")</f>
        <v xml:space="preserve"> </v>
      </c>
      <c r="M13" s="1" t="s">
        <v>148</v>
      </c>
      <c r="N13" s="1" t="s">
        <v>148</v>
      </c>
      <c r="O13" s="1" t="s">
        <v>150</v>
      </c>
      <c r="P13" s="1" t="s">
        <v>148</v>
      </c>
    </row>
    <row r="14" spans="2:16" ht="19" customHeight="1">
      <c r="B14" s="38"/>
      <c r="C14" s="257" t="b">
        <v>0</v>
      </c>
      <c r="D14" s="15" t="s">
        <v>14</v>
      </c>
      <c r="E14" s="312" t="s">
        <v>34</v>
      </c>
      <c r="F14" s="313"/>
      <c r="G14" s="313"/>
      <c r="H14" s="314"/>
      <c r="I14" s="289" t="s">
        <v>43</v>
      </c>
      <c r="J14" s="260">
        <v>1295</v>
      </c>
      <c r="K14" s="37" t="str">
        <f t="shared" si="0"/>
        <v xml:space="preserve"> </v>
      </c>
      <c r="M14" s="1" t="s">
        <v>149</v>
      </c>
      <c r="N14" s="1" t="s">
        <v>353</v>
      </c>
      <c r="O14" s="1" t="s">
        <v>179</v>
      </c>
      <c r="P14" s="1" t="s">
        <v>353</v>
      </c>
    </row>
    <row r="15" spans="2:16" ht="19" customHeight="1">
      <c r="B15" s="38"/>
      <c r="C15" s="257" t="b">
        <v>0</v>
      </c>
      <c r="D15" s="15" t="s">
        <v>18</v>
      </c>
      <c r="E15" s="306" t="s">
        <v>33</v>
      </c>
      <c r="F15" s="307"/>
      <c r="G15" s="307"/>
      <c r="H15" s="308"/>
      <c r="I15" s="303"/>
      <c r="J15" s="259">
        <v>275</v>
      </c>
      <c r="K15" s="37" t="str">
        <f t="shared" si="0"/>
        <v xml:space="preserve"> </v>
      </c>
      <c r="M15" s="1" t="s">
        <v>151</v>
      </c>
      <c r="N15" s="1" t="s">
        <v>152</v>
      </c>
      <c r="O15" s="1" t="s">
        <v>180</v>
      </c>
      <c r="P15" s="1" t="s">
        <v>152</v>
      </c>
    </row>
    <row r="16" spans="2:16" ht="19" customHeight="1">
      <c r="B16" s="38"/>
      <c r="C16" s="257" t="b">
        <v>0</v>
      </c>
      <c r="D16" s="15" t="s">
        <v>15</v>
      </c>
      <c r="E16" s="304" t="s">
        <v>167</v>
      </c>
      <c r="F16" s="304"/>
      <c r="G16" s="304"/>
      <c r="H16" s="305"/>
      <c r="I16" s="289" t="s">
        <v>172</v>
      </c>
      <c r="J16" s="259">
        <v>755</v>
      </c>
      <c r="K16" s="37" t="str">
        <f t="shared" si="0"/>
        <v xml:space="preserve"> </v>
      </c>
      <c r="M16" s="1" t="s">
        <v>275</v>
      </c>
      <c r="N16" s="1" t="s">
        <v>151</v>
      </c>
      <c r="O16" s="1" t="s">
        <v>181</v>
      </c>
      <c r="P16" s="1" t="s">
        <v>151</v>
      </c>
    </row>
    <row r="17" spans="2:16" ht="19" customHeight="1">
      <c r="B17" s="38"/>
      <c r="C17" s="257" t="b">
        <v>1</v>
      </c>
      <c r="D17" s="15" t="s">
        <v>16</v>
      </c>
      <c r="E17" s="304" t="s">
        <v>140</v>
      </c>
      <c r="F17" s="304"/>
      <c r="G17" s="304"/>
      <c r="H17" s="305"/>
      <c r="I17" s="289"/>
      <c r="J17" s="259">
        <v>755</v>
      </c>
      <c r="K17" s="37">
        <f t="shared" si="0"/>
        <v>755</v>
      </c>
      <c r="N17" s="1" t="s">
        <v>153</v>
      </c>
      <c r="O17" s="1" t="s">
        <v>182</v>
      </c>
      <c r="P17" s="1" t="s">
        <v>153</v>
      </c>
    </row>
    <row r="18" spans="2:16" ht="19" customHeight="1">
      <c r="B18" s="38"/>
      <c r="C18" s="257" t="b">
        <v>0</v>
      </c>
      <c r="D18" s="15" t="s">
        <v>40</v>
      </c>
      <c r="E18" s="305" t="s">
        <v>331</v>
      </c>
      <c r="F18" s="342"/>
      <c r="G18" s="342"/>
      <c r="H18" s="343"/>
      <c r="I18" s="77" t="s">
        <v>124</v>
      </c>
      <c r="J18" s="260">
        <v>1195</v>
      </c>
      <c r="K18" s="37" t="str">
        <f t="shared" si="0"/>
        <v xml:space="preserve"> </v>
      </c>
      <c r="N18" s="1" t="s">
        <v>154</v>
      </c>
      <c r="O18" s="1" t="s">
        <v>361</v>
      </c>
      <c r="P18" s="1" t="s">
        <v>154</v>
      </c>
    </row>
    <row r="19" spans="2:16" ht="19" customHeight="1">
      <c r="B19" s="38"/>
      <c r="C19" s="257" t="b">
        <v>1</v>
      </c>
      <c r="D19" s="15" t="s">
        <v>19</v>
      </c>
      <c r="E19" s="328" t="s">
        <v>146</v>
      </c>
      <c r="F19" s="328"/>
      <c r="G19" s="344" t="s">
        <v>155</v>
      </c>
      <c r="H19" s="345"/>
      <c r="I19" s="83" t="s">
        <v>486</v>
      </c>
      <c r="J19" s="259">
        <v>325</v>
      </c>
      <c r="K19" s="37">
        <f t="shared" si="0"/>
        <v>325</v>
      </c>
      <c r="O19" s="1" t="s">
        <v>183</v>
      </c>
    </row>
    <row r="20" spans="2:16" ht="19" customHeight="1">
      <c r="B20" s="38"/>
      <c r="C20" s="257" t="b">
        <v>0</v>
      </c>
      <c r="D20" s="15" t="s">
        <v>17</v>
      </c>
      <c r="E20" s="324" t="s">
        <v>35</v>
      </c>
      <c r="F20" s="324"/>
      <c r="G20" s="324"/>
      <c r="H20" s="324"/>
      <c r="I20" s="262"/>
      <c r="J20" s="259">
        <v>75</v>
      </c>
      <c r="K20" s="37" t="str">
        <f t="shared" si="0"/>
        <v xml:space="preserve"> </v>
      </c>
      <c r="O20" s="1" t="s">
        <v>184</v>
      </c>
    </row>
    <row r="21" spans="2:16" ht="19" customHeight="1">
      <c r="B21" s="38"/>
      <c r="C21" s="257" t="b">
        <v>0</v>
      </c>
      <c r="D21" s="15" t="s">
        <v>133</v>
      </c>
      <c r="E21" s="324" t="s">
        <v>141</v>
      </c>
      <c r="F21" s="324"/>
      <c r="G21" s="324"/>
      <c r="H21" s="324"/>
      <c r="I21" s="262"/>
      <c r="J21" s="259">
        <v>135</v>
      </c>
      <c r="K21" s="37" t="str">
        <f t="shared" si="0"/>
        <v xml:space="preserve"> </v>
      </c>
      <c r="O21" s="1" t="s">
        <v>185</v>
      </c>
    </row>
    <row r="22" spans="2:16" ht="19" customHeight="1">
      <c r="B22" s="38"/>
      <c r="C22" s="257" t="b">
        <v>0</v>
      </c>
      <c r="D22" s="15" t="s">
        <v>41</v>
      </c>
      <c r="E22" s="258" t="s">
        <v>156</v>
      </c>
      <c r="F22" s="258"/>
      <c r="G22" s="301" t="s">
        <v>494</v>
      </c>
      <c r="H22" s="301"/>
      <c r="I22" s="82" t="s">
        <v>488</v>
      </c>
      <c r="J22" s="259">
        <v>295</v>
      </c>
      <c r="K22" s="37" t="str">
        <f t="shared" si="0"/>
        <v xml:space="preserve"> </v>
      </c>
      <c r="O22" s="1" t="s">
        <v>186</v>
      </c>
    </row>
    <row r="23" spans="2:16" ht="19" customHeight="1" thickBot="1">
      <c r="B23" s="38"/>
      <c r="C23" s="257" t="b">
        <v>0</v>
      </c>
      <c r="D23" s="15" t="s">
        <v>475</v>
      </c>
      <c r="E23" s="323" t="s">
        <v>506</v>
      </c>
      <c r="F23" s="323"/>
      <c r="G23" s="323"/>
      <c r="H23" s="323"/>
      <c r="I23" s="258"/>
      <c r="J23" s="259">
        <v>195</v>
      </c>
      <c r="K23" s="37" t="str">
        <f t="shared" si="0"/>
        <v xml:space="preserve"> </v>
      </c>
      <c r="O23" s="1" t="s">
        <v>157</v>
      </c>
    </row>
    <row r="24" spans="2:16" ht="22" customHeight="1" thickBot="1">
      <c r="B24" s="316" t="s">
        <v>26</v>
      </c>
      <c r="C24" s="317"/>
      <c r="D24" s="317"/>
      <c r="E24" s="317"/>
      <c r="F24" s="317"/>
      <c r="G24" s="317"/>
      <c r="H24" s="317"/>
      <c r="I24" s="317"/>
      <c r="J24" s="318"/>
      <c r="K24" s="27"/>
      <c r="O24" s="1" t="s">
        <v>201</v>
      </c>
    </row>
    <row r="25" spans="2:16" ht="19" customHeight="1">
      <c r="B25" s="38"/>
      <c r="C25" s="257" t="b">
        <v>0</v>
      </c>
      <c r="D25" s="15" t="s">
        <v>27</v>
      </c>
      <c r="E25" s="321" t="s">
        <v>332</v>
      </c>
      <c r="F25" s="322"/>
      <c r="G25" s="322"/>
      <c r="H25" s="322"/>
      <c r="I25" s="163" t="s">
        <v>75</v>
      </c>
      <c r="J25" s="87">
        <v>225</v>
      </c>
      <c r="K25" s="37" t="str">
        <f t="shared" ref="K25:K62" si="1">IF(C25,J25," ")</f>
        <v xml:space="preserve"> </v>
      </c>
      <c r="O25" s="1" t="s">
        <v>158</v>
      </c>
    </row>
    <row r="26" spans="2:16" ht="19" customHeight="1">
      <c r="B26" s="38"/>
      <c r="C26" s="257" t="b">
        <v>0</v>
      </c>
      <c r="D26" s="15" t="s">
        <v>28</v>
      </c>
      <c r="E26" s="324" t="s">
        <v>77</v>
      </c>
      <c r="F26" s="324"/>
      <c r="G26" s="324"/>
      <c r="H26" s="324"/>
      <c r="I26" s="263"/>
      <c r="J26" s="199">
        <v>225</v>
      </c>
      <c r="K26" s="37" t="str">
        <f t="shared" si="1"/>
        <v xml:space="preserve"> </v>
      </c>
      <c r="O26" s="1" t="s">
        <v>159</v>
      </c>
    </row>
    <row r="27" spans="2:16" ht="19" customHeight="1">
      <c r="B27" s="38"/>
      <c r="C27" s="257" t="b">
        <v>0</v>
      </c>
      <c r="D27" s="15" t="s">
        <v>68</v>
      </c>
      <c r="E27" s="324" t="s">
        <v>69</v>
      </c>
      <c r="F27" s="324"/>
      <c r="G27" s="324"/>
      <c r="H27" s="324"/>
      <c r="I27" s="264"/>
      <c r="J27" s="87">
        <v>95</v>
      </c>
      <c r="K27" s="37" t="str">
        <f t="shared" si="1"/>
        <v xml:space="preserve"> </v>
      </c>
    </row>
    <row r="28" spans="2:16" ht="19" customHeight="1">
      <c r="B28" s="38"/>
      <c r="C28" s="257" t="b">
        <v>1</v>
      </c>
      <c r="D28" s="15" t="s">
        <v>29</v>
      </c>
      <c r="E28" s="324" t="s">
        <v>104</v>
      </c>
      <c r="F28" s="324"/>
      <c r="G28" s="324"/>
      <c r="H28" s="324"/>
      <c r="I28" s="262"/>
      <c r="J28" s="87">
        <v>375</v>
      </c>
      <c r="K28" s="37">
        <f t="shared" ref="K28:K33" si="2">IF(C28,J28," ")</f>
        <v>375</v>
      </c>
    </row>
    <row r="29" spans="2:16" ht="19" customHeight="1">
      <c r="B29" s="38"/>
      <c r="C29" s="257" t="b">
        <v>0</v>
      </c>
      <c r="D29" s="15" t="s">
        <v>169</v>
      </c>
      <c r="E29" s="261" t="s">
        <v>177</v>
      </c>
      <c r="F29" s="261"/>
      <c r="G29" s="261"/>
      <c r="H29" s="261"/>
      <c r="I29" s="262"/>
      <c r="J29" s="87">
        <v>155</v>
      </c>
      <c r="K29" s="37" t="str">
        <f t="shared" si="2"/>
        <v xml:space="preserve"> </v>
      </c>
    </row>
    <row r="30" spans="2:16" ht="19" customHeight="1">
      <c r="B30" s="38"/>
      <c r="C30" s="257" t="b">
        <v>0</v>
      </c>
      <c r="D30" s="15" t="s">
        <v>187</v>
      </c>
      <c r="E30" s="265" t="s">
        <v>200</v>
      </c>
      <c r="F30" s="261"/>
      <c r="G30" s="261"/>
      <c r="H30" s="261"/>
      <c r="I30" s="262"/>
      <c r="J30" s="87">
        <v>395</v>
      </c>
      <c r="K30" s="37" t="str">
        <f t="shared" si="2"/>
        <v xml:space="preserve"> </v>
      </c>
    </row>
    <row r="31" spans="2:16" ht="19" customHeight="1">
      <c r="B31" s="38"/>
      <c r="C31" s="257" t="b">
        <v>0</v>
      </c>
      <c r="D31" s="15" t="s">
        <v>347</v>
      </c>
      <c r="E31" s="327" t="s">
        <v>348</v>
      </c>
      <c r="F31" s="327"/>
      <c r="G31" s="327"/>
      <c r="H31" s="327"/>
      <c r="I31" s="262"/>
      <c r="J31" s="199">
        <v>195</v>
      </c>
      <c r="K31" s="37" t="str">
        <f t="shared" si="2"/>
        <v xml:space="preserve"> </v>
      </c>
    </row>
    <row r="32" spans="2:16" ht="19" customHeight="1">
      <c r="B32" s="38"/>
      <c r="C32" s="257" t="b">
        <v>0</v>
      </c>
      <c r="D32" s="15" t="s">
        <v>476</v>
      </c>
      <c r="E32" s="327" t="s">
        <v>505</v>
      </c>
      <c r="F32" s="327"/>
      <c r="G32" s="327"/>
      <c r="H32" s="327"/>
      <c r="I32" s="327"/>
      <c r="J32" s="87">
        <v>125</v>
      </c>
      <c r="K32" s="37" t="str">
        <f t="shared" si="2"/>
        <v xml:space="preserve"> </v>
      </c>
    </row>
    <row r="33" spans="2:11" ht="19" customHeight="1" thickBot="1">
      <c r="B33" s="38"/>
      <c r="C33" s="257" t="b">
        <v>0</v>
      </c>
      <c r="D33" s="15" t="s">
        <v>477</v>
      </c>
      <c r="E33" s="288" t="s">
        <v>478</v>
      </c>
      <c r="F33" s="288"/>
      <c r="G33" s="288"/>
      <c r="H33" s="288"/>
      <c r="I33" s="262"/>
      <c r="J33" s="87">
        <v>95</v>
      </c>
      <c r="K33" s="37" t="str">
        <f t="shared" si="2"/>
        <v xml:space="preserve"> </v>
      </c>
    </row>
    <row r="34" spans="2:11" ht="22" customHeight="1" thickBot="1">
      <c r="B34" s="316" t="s">
        <v>10</v>
      </c>
      <c r="C34" s="316"/>
      <c r="D34" s="316"/>
      <c r="E34" s="316"/>
      <c r="F34" s="316"/>
      <c r="G34" s="316"/>
      <c r="H34" s="316"/>
      <c r="I34" s="316"/>
      <c r="J34" s="325"/>
      <c r="K34" s="27"/>
    </row>
    <row r="35" spans="2:11" ht="19" customHeight="1">
      <c r="B35" s="38"/>
      <c r="C35" s="257" t="b">
        <v>0</v>
      </c>
      <c r="D35" s="15" t="s">
        <v>20</v>
      </c>
      <c r="E35" s="324" t="s">
        <v>74</v>
      </c>
      <c r="F35" s="324"/>
      <c r="G35" s="324"/>
      <c r="H35" s="324"/>
      <c r="I35" s="262"/>
      <c r="J35" s="260">
        <v>655</v>
      </c>
      <c r="K35" s="37" t="str">
        <f t="shared" si="1"/>
        <v xml:space="preserve"> </v>
      </c>
    </row>
    <row r="36" spans="2:11" ht="19" customHeight="1" thickBot="1">
      <c r="B36" s="38"/>
      <c r="C36" s="257" t="b">
        <v>0</v>
      </c>
      <c r="D36" s="15" t="s">
        <v>21</v>
      </c>
      <c r="E36" s="304" t="s">
        <v>44</v>
      </c>
      <c r="F36" s="304"/>
      <c r="G36" s="304"/>
      <c r="H36" s="304"/>
      <c r="I36" s="67" t="s">
        <v>73</v>
      </c>
      <c r="J36" s="259">
        <v>1995</v>
      </c>
      <c r="K36" s="37" t="str">
        <f t="shared" si="1"/>
        <v xml:space="preserve"> </v>
      </c>
    </row>
    <row r="37" spans="2:11" ht="22" customHeight="1" thickBot="1">
      <c r="B37" s="316" t="s">
        <v>357</v>
      </c>
      <c r="C37" s="317"/>
      <c r="D37" s="317"/>
      <c r="E37" s="317"/>
      <c r="F37" s="317"/>
      <c r="G37" s="317"/>
      <c r="H37" s="317"/>
      <c r="I37" s="317"/>
      <c r="J37" s="318"/>
      <c r="K37" s="27"/>
    </row>
    <row r="38" spans="2:11" ht="19" customHeight="1">
      <c r="B38" s="38"/>
      <c r="C38" s="257" t="b">
        <v>0</v>
      </c>
      <c r="D38" s="15" t="s">
        <v>22</v>
      </c>
      <c r="E38" s="324" t="s">
        <v>487</v>
      </c>
      <c r="F38" s="326"/>
      <c r="G38" s="319" t="s">
        <v>155</v>
      </c>
      <c r="H38" s="320"/>
      <c r="I38" s="83" t="s">
        <v>486</v>
      </c>
      <c r="J38" s="76">
        <v>425</v>
      </c>
      <c r="K38" s="37" t="str">
        <f t="shared" si="1"/>
        <v xml:space="preserve"> </v>
      </c>
    </row>
    <row r="39" spans="2:11" ht="19" customHeight="1">
      <c r="B39" s="38"/>
      <c r="C39" s="257" t="b">
        <v>0</v>
      </c>
      <c r="D39" s="15" t="s">
        <v>80</v>
      </c>
      <c r="E39" s="324" t="s">
        <v>166</v>
      </c>
      <c r="F39" s="324"/>
      <c r="G39" s="324"/>
      <c r="H39" s="324"/>
      <c r="I39" s="262"/>
      <c r="J39" s="76">
        <v>495</v>
      </c>
      <c r="K39" s="37" t="str">
        <f t="shared" si="1"/>
        <v xml:space="preserve"> </v>
      </c>
    </row>
    <row r="40" spans="2:11" ht="19" customHeight="1">
      <c r="B40" s="38"/>
      <c r="C40" s="257" t="b">
        <v>0</v>
      </c>
      <c r="D40" s="15" t="s">
        <v>23</v>
      </c>
      <c r="E40" s="310" t="s">
        <v>337</v>
      </c>
      <c r="F40" s="310"/>
      <c r="G40" s="310"/>
      <c r="H40" s="310"/>
      <c r="I40" s="266"/>
      <c r="J40" s="200">
        <v>1195</v>
      </c>
      <c r="K40" s="37" t="str">
        <f t="shared" si="1"/>
        <v xml:space="preserve"> </v>
      </c>
    </row>
    <row r="41" spans="2:11" ht="19" customHeight="1">
      <c r="B41" s="38"/>
      <c r="C41" s="257" t="b">
        <v>0</v>
      </c>
      <c r="D41" s="15" t="s">
        <v>176</v>
      </c>
      <c r="E41" s="310" t="s">
        <v>355</v>
      </c>
      <c r="F41" s="310"/>
      <c r="G41" s="310"/>
      <c r="H41" s="310"/>
      <c r="I41" s="266"/>
      <c r="J41" s="76">
        <v>95</v>
      </c>
      <c r="K41" s="37" t="str">
        <f>IF(C41,J41," ")</f>
        <v xml:space="preserve"> </v>
      </c>
    </row>
    <row r="42" spans="2:11" ht="19" customHeight="1">
      <c r="B42" s="38"/>
      <c r="C42" s="257" t="b">
        <v>0</v>
      </c>
      <c r="D42" s="15" t="s">
        <v>24</v>
      </c>
      <c r="E42" s="341" t="s">
        <v>36</v>
      </c>
      <c r="F42" s="341"/>
      <c r="G42" s="341"/>
      <c r="H42" s="341"/>
      <c r="I42" s="266"/>
      <c r="J42" s="200">
        <v>595</v>
      </c>
      <c r="K42" s="37" t="str">
        <f t="shared" si="1"/>
        <v xml:space="preserve"> </v>
      </c>
    </row>
    <row r="43" spans="2:11" ht="19" customHeight="1">
      <c r="B43" s="38"/>
      <c r="C43" s="257" t="b">
        <v>0</v>
      </c>
      <c r="D43" s="15" t="s">
        <v>92</v>
      </c>
      <c r="E43" s="324" t="s">
        <v>198</v>
      </c>
      <c r="F43" s="324"/>
      <c r="G43" s="324"/>
      <c r="H43" s="324"/>
      <c r="I43" s="262"/>
      <c r="J43" s="76">
        <v>795</v>
      </c>
      <c r="K43" s="37" t="str">
        <f t="shared" si="1"/>
        <v xml:space="preserve"> </v>
      </c>
    </row>
    <row r="44" spans="2:11" ht="19" customHeight="1">
      <c r="B44" s="38"/>
      <c r="C44" s="257" t="b">
        <v>0</v>
      </c>
      <c r="D44" s="15" t="s">
        <v>170</v>
      </c>
      <c r="E44" s="324" t="s">
        <v>205</v>
      </c>
      <c r="F44" s="324"/>
      <c r="G44" s="324"/>
      <c r="H44" s="324"/>
      <c r="I44" s="262"/>
      <c r="J44" s="200">
        <v>625</v>
      </c>
      <c r="K44" s="37" t="str">
        <f t="shared" si="1"/>
        <v xml:space="preserve"> </v>
      </c>
    </row>
    <row r="45" spans="2:11" ht="19" customHeight="1">
      <c r="B45" s="38"/>
      <c r="C45" s="257" t="b">
        <v>0</v>
      </c>
      <c r="D45" s="15" t="s">
        <v>25</v>
      </c>
      <c r="E45" s="310" t="s">
        <v>491</v>
      </c>
      <c r="F45" s="310"/>
      <c r="G45" s="310"/>
      <c r="H45" s="310"/>
      <c r="J45" s="76">
        <v>1195</v>
      </c>
      <c r="K45" s="37" t="str">
        <f t="shared" si="1"/>
        <v xml:space="preserve"> </v>
      </c>
    </row>
    <row r="46" spans="2:11" ht="19" customHeight="1">
      <c r="B46" s="38"/>
      <c r="C46" s="257" t="b">
        <v>0</v>
      </c>
      <c r="D46" s="15" t="s">
        <v>358</v>
      </c>
      <c r="E46" s="310" t="s">
        <v>372</v>
      </c>
      <c r="F46" s="310"/>
      <c r="G46" s="310"/>
      <c r="H46" s="310"/>
      <c r="J46" s="200">
        <v>295</v>
      </c>
      <c r="K46" s="37" t="str">
        <f t="shared" si="1"/>
        <v xml:space="preserve"> </v>
      </c>
    </row>
    <row r="47" spans="2:11" ht="19" customHeight="1">
      <c r="B47" s="38"/>
      <c r="C47" s="257" t="b">
        <v>0</v>
      </c>
      <c r="D47" s="15" t="s">
        <v>168</v>
      </c>
      <c r="E47" s="324" t="s">
        <v>132</v>
      </c>
      <c r="F47" s="324"/>
      <c r="G47" s="344" t="s">
        <v>155</v>
      </c>
      <c r="H47" s="345"/>
      <c r="I47" s="82" t="s">
        <v>486</v>
      </c>
      <c r="J47" s="200">
        <v>495</v>
      </c>
      <c r="K47" s="37" t="str">
        <f t="shared" si="1"/>
        <v xml:space="preserve"> </v>
      </c>
    </row>
    <row r="48" spans="2:11" ht="19" customHeight="1">
      <c r="B48" s="38"/>
      <c r="C48" s="257" t="b">
        <v>1</v>
      </c>
      <c r="D48" s="15" t="s">
        <v>37</v>
      </c>
      <c r="E48" s="346" t="s">
        <v>1</v>
      </c>
      <c r="F48" s="328"/>
      <c r="G48" s="328"/>
      <c r="H48" s="347"/>
      <c r="I48" s="303" t="s">
        <v>45</v>
      </c>
      <c r="J48" s="76">
        <v>355</v>
      </c>
      <c r="K48" s="37">
        <f t="shared" si="1"/>
        <v>355</v>
      </c>
    </row>
    <row r="49" spans="2:15" ht="19" customHeight="1">
      <c r="B49" s="38"/>
      <c r="C49" s="257" t="b">
        <v>0</v>
      </c>
      <c r="D49" s="15" t="s">
        <v>38</v>
      </c>
      <c r="E49" s="306" t="s">
        <v>356</v>
      </c>
      <c r="F49" s="307"/>
      <c r="G49" s="307"/>
      <c r="H49" s="308"/>
      <c r="I49" s="315"/>
      <c r="J49" s="200">
        <v>695</v>
      </c>
      <c r="K49" s="37" t="str">
        <f t="shared" si="1"/>
        <v xml:space="preserve"> </v>
      </c>
    </row>
    <row r="50" spans="2:15" ht="19" customHeight="1">
      <c r="B50" s="38"/>
      <c r="C50" s="257" t="b">
        <v>0</v>
      </c>
      <c r="D50" s="15" t="s">
        <v>479</v>
      </c>
      <c r="E50" s="328" t="s">
        <v>498</v>
      </c>
      <c r="F50" s="328"/>
      <c r="G50" s="328"/>
      <c r="H50" s="328"/>
      <c r="I50" s="328"/>
      <c r="J50" s="76">
        <v>895</v>
      </c>
      <c r="K50" s="37" t="str">
        <f t="shared" si="1"/>
        <v xml:space="preserve"> </v>
      </c>
    </row>
    <row r="51" spans="2:15" ht="19" customHeight="1">
      <c r="B51" s="38"/>
      <c r="C51" s="257" t="b">
        <v>0</v>
      </c>
      <c r="D51" s="15" t="s">
        <v>480</v>
      </c>
      <c r="E51" s="324" t="s">
        <v>482</v>
      </c>
      <c r="F51" s="324"/>
      <c r="G51" s="324"/>
      <c r="H51" s="324"/>
      <c r="I51" s="266"/>
      <c r="J51" s="76">
        <v>255</v>
      </c>
      <c r="K51" s="37" t="str">
        <f t="shared" si="1"/>
        <v xml:space="preserve"> </v>
      </c>
    </row>
    <row r="52" spans="2:15" ht="19" customHeight="1" thickBot="1">
      <c r="B52" s="38"/>
      <c r="C52" s="257" t="b">
        <v>1</v>
      </c>
      <c r="D52" s="15" t="s">
        <v>481</v>
      </c>
      <c r="E52" s="324" t="s">
        <v>507</v>
      </c>
      <c r="F52" s="324"/>
      <c r="G52" s="324"/>
      <c r="H52" s="324"/>
      <c r="I52" s="266"/>
      <c r="J52" s="76">
        <v>265</v>
      </c>
      <c r="K52" s="37">
        <f t="shared" si="1"/>
        <v>265</v>
      </c>
    </row>
    <row r="53" spans="2:15" ht="20" customHeight="1" thickBot="1">
      <c r="B53" s="352" t="s">
        <v>500</v>
      </c>
      <c r="C53" s="353"/>
      <c r="D53" s="353"/>
      <c r="E53" s="353"/>
      <c r="F53" s="353"/>
      <c r="G53" s="353"/>
      <c r="H53" s="353"/>
      <c r="I53" s="353"/>
      <c r="J53" s="354"/>
      <c r="K53" s="37" t="str">
        <f t="shared" si="1"/>
        <v xml:space="preserve"> </v>
      </c>
    </row>
    <row r="54" spans="2:15" ht="19" customHeight="1">
      <c r="B54" s="174"/>
      <c r="C54" s="175" t="b">
        <v>1</v>
      </c>
      <c r="D54" s="176" t="s">
        <v>188</v>
      </c>
      <c r="E54" s="351" t="s">
        <v>354</v>
      </c>
      <c r="F54" s="351"/>
      <c r="G54" s="351"/>
      <c r="H54" s="351"/>
      <c r="I54" s="177"/>
      <c r="J54" s="201">
        <v>175</v>
      </c>
      <c r="K54" s="254">
        <f t="shared" si="1"/>
        <v>175</v>
      </c>
    </row>
    <row r="55" spans="2:15" ht="19" customHeight="1">
      <c r="B55" s="38"/>
      <c r="C55" s="257" t="b">
        <v>0</v>
      </c>
      <c r="D55" s="15" t="s">
        <v>189</v>
      </c>
      <c r="E55" s="324" t="s">
        <v>499</v>
      </c>
      <c r="F55" s="324"/>
      <c r="G55" s="324"/>
      <c r="H55" s="324"/>
      <c r="I55" s="262"/>
      <c r="J55" s="202">
        <v>495</v>
      </c>
      <c r="K55" s="254" t="str">
        <f t="shared" si="1"/>
        <v xml:space="preserve"> </v>
      </c>
    </row>
    <row r="56" spans="2:15" ht="19" customHeight="1">
      <c r="B56" s="38"/>
      <c r="C56" s="257" t="b">
        <v>0</v>
      </c>
      <c r="D56" s="15" t="s">
        <v>190</v>
      </c>
      <c r="E56" s="322" t="s">
        <v>206</v>
      </c>
      <c r="F56" s="322"/>
      <c r="G56" s="322"/>
      <c r="H56" s="322"/>
      <c r="I56" s="262"/>
      <c r="J56" s="202">
        <v>75</v>
      </c>
      <c r="K56" s="254" t="str">
        <f t="shared" si="1"/>
        <v xml:space="preserve"> </v>
      </c>
    </row>
    <row r="57" spans="2:15" ht="19" customHeight="1">
      <c r="B57" s="38"/>
      <c r="C57" s="257" t="b">
        <v>0</v>
      </c>
      <c r="D57" s="15" t="s">
        <v>191</v>
      </c>
      <c r="E57" s="332" t="s">
        <v>210</v>
      </c>
      <c r="F57" s="332"/>
      <c r="G57" s="332"/>
      <c r="H57" s="332"/>
      <c r="I57" s="338" t="s">
        <v>207</v>
      </c>
      <c r="J57" s="202">
        <v>15</v>
      </c>
      <c r="K57" s="254" t="str">
        <f t="shared" si="1"/>
        <v xml:space="preserve"> </v>
      </c>
    </row>
    <row r="58" spans="2:15" ht="19" customHeight="1">
      <c r="B58" s="38"/>
      <c r="C58" s="257" t="b">
        <v>0</v>
      </c>
      <c r="D58" s="15" t="s">
        <v>192</v>
      </c>
      <c r="E58" s="332" t="s">
        <v>209</v>
      </c>
      <c r="F58" s="332"/>
      <c r="G58" s="332"/>
      <c r="H58" s="332"/>
      <c r="I58" s="339"/>
      <c r="J58" s="88">
        <v>95</v>
      </c>
      <c r="K58" s="254" t="str">
        <f t="shared" si="1"/>
        <v xml:space="preserve"> </v>
      </c>
    </row>
    <row r="59" spans="2:15" ht="19" customHeight="1">
      <c r="B59" s="38"/>
      <c r="C59" s="257" t="b">
        <v>0</v>
      </c>
      <c r="D59" s="15" t="s">
        <v>193</v>
      </c>
      <c r="E59" s="332" t="s">
        <v>208</v>
      </c>
      <c r="F59" s="332"/>
      <c r="G59" s="332"/>
      <c r="H59" s="332"/>
      <c r="I59" s="340"/>
      <c r="J59" s="202">
        <v>55</v>
      </c>
      <c r="K59" s="254" t="str">
        <f t="shared" si="1"/>
        <v xml:space="preserve"> </v>
      </c>
    </row>
    <row r="60" spans="2:15" ht="19" customHeight="1">
      <c r="B60" s="38"/>
      <c r="C60" s="257" t="b">
        <v>0</v>
      </c>
      <c r="D60" s="15" t="s">
        <v>484</v>
      </c>
      <c r="E60" s="324" t="s">
        <v>496</v>
      </c>
      <c r="F60" s="324"/>
      <c r="G60" s="324"/>
      <c r="H60" s="324"/>
      <c r="I60" s="262"/>
      <c r="J60" s="88">
        <v>100</v>
      </c>
      <c r="K60" s="254" t="str">
        <f t="shared" si="1"/>
        <v xml:space="preserve"> </v>
      </c>
    </row>
    <row r="61" spans="2:15" ht="19" customHeight="1">
      <c r="B61" s="38"/>
      <c r="C61" s="257" t="b">
        <v>0</v>
      </c>
      <c r="D61" s="15" t="s">
        <v>495</v>
      </c>
      <c r="E61" s="324" t="s">
        <v>508</v>
      </c>
      <c r="F61" s="324"/>
      <c r="G61" s="324"/>
      <c r="H61" s="324"/>
      <c r="I61" s="262"/>
      <c r="J61" s="88">
        <v>100</v>
      </c>
      <c r="K61" s="254" t="str">
        <f t="shared" si="1"/>
        <v xml:space="preserve"> </v>
      </c>
    </row>
    <row r="62" spans="2:15" ht="19" customHeight="1">
      <c r="B62" s="38"/>
      <c r="C62" s="257" t="b">
        <v>0</v>
      </c>
      <c r="D62" s="15" t="s">
        <v>485</v>
      </c>
      <c r="E62" s="324" t="s">
        <v>497</v>
      </c>
      <c r="F62" s="324"/>
      <c r="G62" s="324"/>
      <c r="H62" s="324"/>
      <c r="I62" s="267"/>
      <c r="J62" s="88">
        <v>100</v>
      </c>
      <c r="K62" s="254" t="str">
        <f t="shared" si="1"/>
        <v xml:space="preserve"> </v>
      </c>
    </row>
    <row r="63" spans="2:15" ht="19" customHeight="1" thickBot="1">
      <c r="B63" s="141"/>
      <c r="C63" s="178" t="b">
        <v>0</v>
      </c>
      <c r="D63" s="179" t="s">
        <v>483</v>
      </c>
      <c r="E63" s="253" t="s">
        <v>199</v>
      </c>
      <c r="F63" s="253"/>
      <c r="G63" s="253"/>
      <c r="H63" s="253"/>
      <c r="I63" s="255"/>
      <c r="J63" s="256">
        <v>0</v>
      </c>
      <c r="K63" s="276" t="str">
        <f>IF(C63,J63," ")</f>
        <v xml:space="preserve"> </v>
      </c>
      <c r="O63" s="135"/>
    </row>
    <row r="64" spans="2:15" s="135" customFormat="1" ht="10" customHeight="1" thickBot="1">
      <c r="B64" s="136"/>
      <c r="C64" s="137"/>
      <c r="D64" s="137" t="s">
        <v>82</v>
      </c>
      <c r="E64" s="137"/>
      <c r="F64" s="137"/>
      <c r="G64" s="137"/>
      <c r="H64" s="137"/>
      <c r="I64" s="137"/>
      <c r="J64" s="137"/>
      <c r="K64" s="138"/>
      <c r="O64" s="1"/>
    </row>
    <row r="65" spans="2:15" ht="21" customHeight="1">
      <c r="B65" s="38" t="s">
        <v>30</v>
      </c>
      <c r="C65" s="268"/>
      <c r="D65" s="268"/>
      <c r="E65" s="336"/>
      <c r="F65" s="336"/>
      <c r="G65" s="336"/>
      <c r="H65" s="336"/>
      <c r="I65" s="337"/>
      <c r="J65" s="68" t="s">
        <v>31</v>
      </c>
      <c r="K65" s="96">
        <f>SUM(K10:K59)</f>
        <v>26245</v>
      </c>
    </row>
    <row r="66" spans="2:15" ht="21" customHeight="1" thickBot="1">
      <c r="B66" s="38"/>
      <c r="C66" s="269"/>
      <c r="D66" s="269"/>
      <c r="E66" s="269"/>
      <c r="F66" s="269"/>
      <c r="G66" s="269"/>
      <c r="H66" s="269"/>
      <c r="I66" s="29"/>
      <c r="J66" s="69" t="s">
        <v>0</v>
      </c>
      <c r="K66" s="71">
        <f>K65/3</f>
        <v>8748.3333333333339</v>
      </c>
    </row>
    <row r="67" spans="2:15" ht="21" customHeight="1" thickTop="1">
      <c r="B67" s="133"/>
      <c r="C67" s="134"/>
      <c r="D67" s="134"/>
      <c r="E67" s="134"/>
      <c r="F67" s="134"/>
      <c r="G67" s="134"/>
      <c r="H67" s="134"/>
      <c r="I67" s="29"/>
      <c r="J67" s="69" t="s">
        <v>2</v>
      </c>
      <c r="K67" s="72">
        <f>K65-K66</f>
        <v>17496.666666666664</v>
      </c>
    </row>
    <row r="68" spans="2:15" ht="21" customHeight="1">
      <c r="B68" s="333" t="s">
        <v>202</v>
      </c>
      <c r="C68" s="334"/>
      <c r="D68" s="334"/>
      <c r="E68" s="334"/>
      <c r="F68" s="334"/>
      <c r="G68" s="334"/>
      <c r="H68" s="334"/>
      <c r="I68" s="335"/>
      <c r="J68" s="69" t="s">
        <v>70</v>
      </c>
      <c r="K68" s="72">
        <f>K67/2</f>
        <v>8748.3333333333321</v>
      </c>
    </row>
    <row r="69" spans="2:15" ht="21" customHeight="1" thickBot="1">
      <c r="B69" s="92" t="s">
        <v>142</v>
      </c>
      <c r="C69" s="93"/>
      <c r="D69" s="93"/>
      <c r="E69" s="93"/>
      <c r="F69" s="93"/>
      <c r="G69" s="93"/>
      <c r="H69" s="93"/>
      <c r="I69" s="94"/>
      <c r="J69" s="70" t="s">
        <v>3</v>
      </c>
      <c r="K69" s="73">
        <f>K67-K68</f>
        <v>8748.3333333333321</v>
      </c>
      <c r="O69" s="5"/>
    </row>
    <row r="70" spans="2:15" s="5" customFormat="1" ht="10" customHeight="1" thickBot="1">
      <c r="B70" s="348"/>
      <c r="C70" s="349"/>
      <c r="D70" s="349"/>
      <c r="E70" s="349"/>
      <c r="F70" s="349"/>
      <c r="G70" s="349"/>
      <c r="H70" s="349"/>
      <c r="I70" s="349"/>
      <c r="J70" s="349"/>
      <c r="K70" s="350"/>
      <c r="O70" s="1"/>
    </row>
    <row r="71" spans="2:15" ht="21" thickBot="1">
      <c r="B71" s="270" t="s">
        <v>165</v>
      </c>
      <c r="C71" s="271"/>
      <c r="D71" s="271"/>
      <c r="E71" s="271"/>
      <c r="F71" s="271"/>
      <c r="G71" s="271"/>
      <c r="H71" s="271"/>
      <c r="I71" s="271"/>
      <c r="J71" s="78" t="s">
        <v>144</v>
      </c>
      <c r="K71" s="95">
        <v>1420</v>
      </c>
    </row>
    <row r="72" spans="2:15" ht="21" thickBot="1">
      <c r="B72" s="270" t="s">
        <v>162</v>
      </c>
      <c r="C72" s="271"/>
      <c r="D72" s="271"/>
      <c r="E72" s="271"/>
      <c r="F72" s="271"/>
      <c r="G72" s="329" t="s">
        <v>204</v>
      </c>
      <c r="H72" s="330"/>
      <c r="I72" s="331"/>
      <c r="J72" s="78" t="s">
        <v>126</v>
      </c>
      <c r="K72" s="95">
        <f>'Weight Calc'!D32</f>
        <v>125.39999999999999</v>
      </c>
    </row>
    <row r="73" spans="2:15" ht="21" thickBot="1">
      <c r="B73" s="270" t="s">
        <v>163</v>
      </c>
      <c r="C73" s="272"/>
      <c r="D73" s="272"/>
      <c r="E73" s="272"/>
      <c r="F73" s="273"/>
      <c r="G73" s="329" t="s">
        <v>203</v>
      </c>
      <c r="H73" s="330"/>
      <c r="I73" s="331"/>
      <c r="J73" s="84" t="s">
        <v>125</v>
      </c>
      <c r="K73" s="85">
        <v>0</v>
      </c>
    </row>
    <row r="74" spans="2:15" ht="21" thickBot="1">
      <c r="B74" s="270" t="s">
        <v>164</v>
      </c>
      <c r="C74" s="273"/>
      <c r="D74" s="273"/>
      <c r="E74" s="273"/>
      <c r="F74" s="273"/>
      <c r="G74" s="329" t="s">
        <v>501</v>
      </c>
      <c r="H74" s="330"/>
      <c r="I74" s="331"/>
      <c r="J74" s="81" t="s">
        <v>143</v>
      </c>
      <c r="K74" s="79">
        <f>SUM(K71:K73)</f>
        <v>1545.4</v>
      </c>
    </row>
    <row r="75" spans="2:15" ht="21" thickBot="1">
      <c r="B75" s="274" t="s">
        <v>493</v>
      </c>
      <c r="C75" s="275"/>
      <c r="D75" s="275"/>
      <c r="E75" s="275"/>
      <c r="F75" s="275"/>
      <c r="G75" s="329" t="s">
        <v>342</v>
      </c>
      <c r="H75" s="330"/>
      <c r="I75" s="331"/>
      <c r="J75" s="78" t="s">
        <v>145</v>
      </c>
      <c r="K75" s="80">
        <f>'Weight Calc'!F34</f>
        <v>222.4</v>
      </c>
    </row>
    <row r="76" spans="2:15">
      <c r="B76" s="61"/>
    </row>
  </sheetData>
  <sheetProtection sheet="1" objects="1" scenarios="1"/>
  <mergeCells count="81">
    <mergeCell ref="B70:K70"/>
    <mergeCell ref="E51:H51"/>
    <mergeCell ref="E52:H52"/>
    <mergeCell ref="E54:H54"/>
    <mergeCell ref="B53:J53"/>
    <mergeCell ref="E42:H42"/>
    <mergeCell ref="E20:H20"/>
    <mergeCell ref="E18:H18"/>
    <mergeCell ref="E36:H36"/>
    <mergeCell ref="I48:I49"/>
    <mergeCell ref="E35:H35"/>
    <mergeCell ref="E19:F19"/>
    <mergeCell ref="E21:H21"/>
    <mergeCell ref="G19:H19"/>
    <mergeCell ref="E49:H49"/>
    <mergeCell ref="B37:J37"/>
    <mergeCell ref="E26:H26"/>
    <mergeCell ref="E27:H27"/>
    <mergeCell ref="E39:H39"/>
    <mergeCell ref="E48:H48"/>
    <mergeCell ref="G47:H47"/>
    <mergeCell ref="E50:I50"/>
    <mergeCell ref="G75:I75"/>
    <mergeCell ref="G72:I72"/>
    <mergeCell ref="E57:H57"/>
    <mergeCell ref="E58:H58"/>
    <mergeCell ref="E59:H59"/>
    <mergeCell ref="G73:I73"/>
    <mergeCell ref="E60:H60"/>
    <mergeCell ref="E62:H62"/>
    <mergeCell ref="E61:H61"/>
    <mergeCell ref="G74:I74"/>
    <mergeCell ref="B68:I68"/>
    <mergeCell ref="E65:I65"/>
    <mergeCell ref="E55:H55"/>
    <mergeCell ref="E56:H56"/>
    <mergeCell ref="I57:I59"/>
    <mergeCell ref="B24:J24"/>
    <mergeCell ref="G38:H38"/>
    <mergeCell ref="E25:H25"/>
    <mergeCell ref="E23:H23"/>
    <mergeCell ref="E47:F47"/>
    <mergeCell ref="E43:H43"/>
    <mergeCell ref="E46:H46"/>
    <mergeCell ref="E28:H28"/>
    <mergeCell ref="E44:H44"/>
    <mergeCell ref="B34:J34"/>
    <mergeCell ref="E38:F38"/>
    <mergeCell ref="E31:H31"/>
    <mergeCell ref="E41:H41"/>
    <mergeCell ref="E32:I32"/>
    <mergeCell ref="E45:H45"/>
    <mergeCell ref="E40:H40"/>
    <mergeCell ref="G22:H22"/>
    <mergeCell ref="F4:G4"/>
    <mergeCell ref="E10:H10"/>
    <mergeCell ref="B4:E4"/>
    <mergeCell ref="I14:I15"/>
    <mergeCell ref="E17:H17"/>
    <mergeCell ref="E15:H15"/>
    <mergeCell ref="E16:H16"/>
    <mergeCell ref="E12:H12"/>
    <mergeCell ref="E13:H13"/>
    <mergeCell ref="E14:H14"/>
    <mergeCell ref="I12:I13"/>
    <mergeCell ref="B1:K1"/>
    <mergeCell ref="I3:K3"/>
    <mergeCell ref="B5:E5"/>
    <mergeCell ref="B6:E6"/>
    <mergeCell ref="E33:H33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</mergeCells>
  <phoneticPr fontId="1" type="noConversion"/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8" xr:uid="{00000000-0002-0000-0000-000001000000}">
      <formula1>$N$12:$N$19</formula1>
    </dataValidation>
    <dataValidation type="list" allowBlank="1" showInputMessage="1" showErrorMessage="1" sqref="I47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hyperlinks>
    <hyperlink ref="E10:H10" r:id="rId1" location="base-package" display="Visit our website to explore base package details" xr:uid="{2D8745D7-65CE-4C41-AA08-44DBACCEEAFE}"/>
  </hyperlinks>
  <pageMargins left="0.7" right="0.7" top="0.75" bottom="0.75" header="0.3" footer="0.3"/>
  <pageSetup scale="47" orientation="portrait" horizontalDpi="4294967292" verticalDpi="4294967292" copies="4"/>
  <headerFooter alignWithMargins="0"/>
  <rowBreaks count="1" manualBreakCount="1">
    <brk id="71" max="10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4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241300</xdr:rowOff>
                  </from>
                  <to>
                    <xdr:col>1</xdr:col>
                    <xdr:colOff>558800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0</xdr:rowOff>
                  </from>
                  <to>
                    <xdr:col>1</xdr:col>
                    <xdr:colOff>558800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228600</xdr:rowOff>
                  </from>
                  <to>
                    <xdr:col>1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8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0</xdr:rowOff>
                  </from>
                  <to>
                    <xdr:col>1</xdr:col>
                    <xdr:colOff>558800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0</xdr:rowOff>
                  </from>
                  <to>
                    <xdr:col>1</xdr:col>
                    <xdr:colOff>558800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0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12700</xdr:rowOff>
                  </from>
                  <to>
                    <xdr:col>1</xdr:col>
                    <xdr:colOff>558800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2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5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6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7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241300</xdr:rowOff>
                  </from>
                  <to>
                    <xdr:col>1</xdr:col>
                    <xdr:colOff>558800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8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9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30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1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2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228600</xdr:rowOff>
                  </from>
                  <to>
                    <xdr:col>1</xdr:col>
                    <xdr:colOff>558800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3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4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228600</xdr:rowOff>
                  </from>
                  <to>
                    <xdr:col>1</xdr:col>
                    <xdr:colOff>558800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5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6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7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8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0</xdr:rowOff>
                  </from>
                  <to>
                    <xdr:col>1</xdr:col>
                    <xdr:colOff>558800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9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0</xdr:rowOff>
                  </from>
                  <to>
                    <xdr:col>1</xdr:col>
                    <xdr:colOff>558800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40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0</xdr:rowOff>
                  </from>
                  <to>
                    <xdr:col>1</xdr:col>
                    <xdr:colOff>558800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1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0</xdr:rowOff>
                  </from>
                  <to>
                    <xdr:col>1</xdr:col>
                    <xdr:colOff>558800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2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0</xdr:rowOff>
                  </from>
                  <to>
                    <xdr:col>1</xdr:col>
                    <xdr:colOff>558800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3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228600</xdr:rowOff>
                  </from>
                  <to>
                    <xdr:col>1</xdr:col>
                    <xdr:colOff>558800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4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228600</xdr:rowOff>
                  </from>
                  <to>
                    <xdr:col>1</xdr:col>
                    <xdr:colOff>558800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5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546100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6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7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241300</xdr:rowOff>
                  </from>
                  <to>
                    <xdr:col>1</xdr:col>
                    <xdr:colOff>558800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2" r:id="rId48" name="Check Box 7512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203200</xdr:rowOff>
                  </from>
                  <to>
                    <xdr:col>1</xdr:col>
                    <xdr:colOff>558800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3" r:id="rId49" name="Check Box 7513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203200</xdr:rowOff>
                  </from>
                  <to>
                    <xdr:col>1</xdr:col>
                    <xdr:colOff>558800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4" r:id="rId50" name="Check Box 7514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558800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5" r:id="rId51" name="Check Box 751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6" r:id="rId52" name="Check Box 7516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8" r:id="rId53" name="Check Box 7518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228600</xdr:rowOff>
                  </from>
                  <to>
                    <xdr:col>1</xdr:col>
                    <xdr:colOff>558800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9" r:id="rId54" name="Check Box 75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0</xdr:rowOff>
                  </from>
                  <to>
                    <xdr:col>1</xdr:col>
                    <xdr:colOff>558800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0" r:id="rId55" name="Check Box 7520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228600</xdr:rowOff>
                  </from>
                  <to>
                    <xdr:col>1</xdr:col>
                    <xdr:colOff>558800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1" r:id="rId56" name="Check Box 7521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0</xdr:rowOff>
                  </from>
                  <to>
                    <xdr:col>1</xdr:col>
                    <xdr:colOff>558800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topLeftCell="A19" workbookViewId="0">
      <selection activeCell="C52" sqref="C52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3" t="s">
        <v>105</v>
      </c>
    </row>
    <row r="2" spans="1:8" ht="19">
      <c r="A2" s="54" t="s">
        <v>106</v>
      </c>
      <c r="B2" s="54" t="s">
        <v>107</v>
      </c>
      <c r="C2" s="54" t="s">
        <v>108</v>
      </c>
      <c r="D2" s="55" t="s">
        <v>340</v>
      </c>
      <c r="E2" s="54" t="s">
        <v>339</v>
      </c>
      <c r="F2" s="54" t="s">
        <v>341</v>
      </c>
      <c r="G2" s="54" t="s">
        <v>338</v>
      </c>
    </row>
    <row r="3" spans="1:8" ht="19">
      <c r="A3" s="56" t="s">
        <v>4</v>
      </c>
      <c r="B3" s="57" t="s">
        <v>12</v>
      </c>
      <c r="C3" s="57">
        <v>10.4</v>
      </c>
      <c r="D3" s="57" t="str">
        <f>IF('Pricing Worksheet'!C12,C3," ")</f>
        <v xml:space="preserve"> </v>
      </c>
      <c r="E3" s="170">
        <v>-4</v>
      </c>
      <c r="F3" s="170" t="str">
        <f>IF('Pricing Worksheet'!C12,E3," ")</f>
        <v xml:space="preserve"> </v>
      </c>
      <c r="G3" s="172">
        <f>E3/C3</f>
        <v>-0.38461538461538458</v>
      </c>
    </row>
    <row r="4" spans="1:8" ht="19">
      <c r="A4" s="56" t="s">
        <v>489</v>
      </c>
      <c r="B4" s="57" t="s">
        <v>13</v>
      </c>
      <c r="C4" s="57">
        <v>22.4</v>
      </c>
      <c r="D4" s="57" t="str">
        <f>IF('Pricing Worksheet'!C13,C4," ")</f>
        <v xml:space="preserve"> </v>
      </c>
      <c r="E4" s="170">
        <v>18</v>
      </c>
      <c r="F4" s="170" t="str">
        <f>IF('Pricing Worksheet'!C13,E4," ")</f>
        <v xml:space="preserve"> </v>
      </c>
      <c r="G4" s="172">
        <f t="shared" ref="G4:G29" si="0">E4/C4</f>
        <v>0.8035714285714286</v>
      </c>
    </row>
    <row r="5" spans="1:8" ht="19">
      <c r="A5" s="56" t="s">
        <v>34</v>
      </c>
      <c r="B5" s="57" t="s">
        <v>14</v>
      </c>
      <c r="C5" s="57">
        <v>22.8</v>
      </c>
      <c r="D5" s="57" t="str">
        <f>IF('Pricing Worksheet'!C14,C5," ")</f>
        <v xml:space="preserve"> </v>
      </c>
      <c r="E5" s="170">
        <v>-2</v>
      </c>
      <c r="F5" s="170" t="str">
        <f>IF('Pricing Worksheet'!C14,E5," ")</f>
        <v xml:space="preserve"> </v>
      </c>
      <c r="G5" s="172">
        <f t="shared" si="0"/>
        <v>-8.771929824561403E-2</v>
      </c>
    </row>
    <row r="6" spans="1:8" ht="19">
      <c r="A6" s="56" t="s">
        <v>33</v>
      </c>
      <c r="B6" s="57" t="s">
        <v>18</v>
      </c>
      <c r="C6" s="57">
        <v>10.5</v>
      </c>
      <c r="D6" s="57" t="str">
        <f>IF('Pricing Worksheet'!C15,C6," ")</f>
        <v xml:space="preserve"> </v>
      </c>
      <c r="E6" s="170">
        <v>-1</v>
      </c>
      <c r="F6" s="170" t="str">
        <f>IF('Pricing Worksheet'!C15,E6," ")</f>
        <v xml:space="preserve"> </v>
      </c>
      <c r="G6" s="172">
        <f t="shared" si="0"/>
        <v>-9.5238095238095233E-2</v>
      </c>
    </row>
    <row r="7" spans="1:8" ht="19">
      <c r="A7" s="56" t="s">
        <v>136</v>
      </c>
      <c r="B7" s="57" t="s">
        <v>15</v>
      </c>
      <c r="C7" s="57">
        <v>74.8</v>
      </c>
      <c r="D7" s="57" t="str">
        <f>IF('Pricing Worksheet'!C16,C7," ")</f>
        <v xml:space="preserve"> </v>
      </c>
      <c r="E7" s="170">
        <v>-11</v>
      </c>
      <c r="F7" s="170" t="str">
        <f>IF('Pricing Worksheet'!C16,E7," ")</f>
        <v xml:space="preserve"> </v>
      </c>
      <c r="G7" s="172">
        <f t="shared" si="0"/>
        <v>-0.14705882352941177</v>
      </c>
    </row>
    <row r="8" spans="1:8" ht="19">
      <c r="A8" s="56" t="s">
        <v>137</v>
      </c>
      <c r="B8" s="57" t="s">
        <v>16</v>
      </c>
      <c r="C8" s="57">
        <v>63.2</v>
      </c>
      <c r="D8" s="57">
        <f>IF('Pricing Worksheet'!C17,C8," ")</f>
        <v>63.2</v>
      </c>
      <c r="E8" s="170">
        <v>-11</v>
      </c>
      <c r="F8" s="170">
        <f>IF('Pricing Worksheet'!C17,E8," ")</f>
        <v>-11</v>
      </c>
      <c r="G8" s="172">
        <f t="shared" si="0"/>
        <v>-0.17405063291139239</v>
      </c>
    </row>
    <row r="9" spans="1:8" ht="19">
      <c r="A9" s="56" t="s">
        <v>78</v>
      </c>
      <c r="B9" s="54" t="s">
        <v>40</v>
      </c>
      <c r="C9" s="57">
        <v>40.4</v>
      </c>
      <c r="D9" s="57" t="str">
        <f>IF('Pricing Worksheet'!C18,C9," ")</f>
        <v xml:space="preserve"> </v>
      </c>
      <c r="E9" s="170">
        <v>-15</v>
      </c>
      <c r="F9" s="170" t="str">
        <f>IF('Pricing Worksheet'!C18,E9," ")</f>
        <v xml:space="preserve"> </v>
      </c>
      <c r="G9" s="172">
        <f t="shared" si="0"/>
        <v>-0.37128712871287128</v>
      </c>
      <c r="H9" t="s">
        <v>343</v>
      </c>
    </row>
    <row r="10" spans="1:8" ht="19">
      <c r="A10" s="56" t="s">
        <v>87</v>
      </c>
      <c r="B10" s="54" t="s">
        <v>19</v>
      </c>
      <c r="C10" s="57">
        <v>1.6</v>
      </c>
      <c r="D10" s="57">
        <f>IF('Pricing Worksheet'!C19,C10," ")</f>
        <v>1.6</v>
      </c>
      <c r="E10" s="170">
        <v>-0.6</v>
      </c>
      <c r="F10" s="170">
        <f>IF('Pricing Worksheet'!C19,E10," ")</f>
        <v>-0.6</v>
      </c>
      <c r="G10" s="172">
        <f t="shared" si="0"/>
        <v>-0.37499999999999994</v>
      </c>
    </row>
    <row r="11" spans="1:8" ht="19">
      <c r="A11" s="56" t="s">
        <v>35</v>
      </c>
      <c r="B11" s="54" t="s">
        <v>17</v>
      </c>
      <c r="C11" s="57">
        <v>0.4</v>
      </c>
      <c r="D11" s="57" t="str">
        <f>IF('Pricing Worksheet'!C20,C11," ")</f>
        <v xml:space="preserve"> </v>
      </c>
      <c r="E11" s="170"/>
      <c r="F11" s="170" t="str">
        <f>IF('Pricing Worksheet'!C20,E11," ")</f>
        <v xml:space="preserve"> </v>
      </c>
      <c r="G11" s="172">
        <f t="shared" si="0"/>
        <v>0</v>
      </c>
    </row>
    <row r="12" spans="1:8" ht="19">
      <c r="A12" s="56" t="s">
        <v>135</v>
      </c>
      <c r="B12" s="54" t="s">
        <v>133</v>
      </c>
      <c r="C12" s="57">
        <v>0.8</v>
      </c>
      <c r="D12" s="57" t="str">
        <f>IF('Pricing Worksheet'!C21,C12," ")</f>
        <v xml:space="preserve"> </v>
      </c>
      <c r="E12" s="170">
        <v>-0.3</v>
      </c>
      <c r="F12" s="170" t="str">
        <f>IF('Pricing Worksheet'!C21,E12," ")</f>
        <v xml:space="preserve"> </v>
      </c>
      <c r="G12" s="172">
        <f t="shared" si="0"/>
        <v>-0.37499999999999994</v>
      </c>
    </row>
    <row r="13" spans="1:8" ht="19">
      <c r="A13" s="56" t="s">
        <v>76</v>
      </c>
      <c r="B13" s="54" t="s">
        <v>27</v>
      </c>
      <c r="C13" s="57">
        <v>2</v>
      </c>
      <c r="D13" s="57" t="str">
        <f>IF('Pricing Worksheet'!C25,C13," ")</f>
        <v xml:space="preserve"> </v>
      </c>
      <c r="E13" s="170">
        <v>1</v>
      </c>
      <c r="F13" s="170" t="str">
        <f>IF('Pricing Worksheet'!C25,E13," ")</f>
        <v xml:space="preserve"> </v>
      </c>
      <c r="G13" s="172">
        <f t="shared" si="0"/>
        <v>0.5</v>
      </c>
    </row>
    <row r="14" spans="1:8" ht="19">
      <c r="A14" s="56" t="s">
        <v>77</v>
      </c>
      <c r="B14" s="54" t="s">
        <v>28</v>
      </c>
      <c r="C14" s="57">
        <v>1</v>
      </c>
      <c r="D14" s="57" t="str">
        <f>IF('Pricing Worksheet'!C26,C14," ")</f>
        <v xml:space="preserve"> </v>
      </c>
      <c r="E14" s="170"/>
      <c r="F14" s="170" t="str">
        <f>IF('Pricing Worksheet'!C26,E14," ")</f>
        <v xml:space="preserve"> </v>
      </c>
      <c r="G14" s="172">
        <f t="shared" si="0"/>
        <v>0</v>
      </c>
    </row>
    <row r="15" spans="1:8" ht="19">
      <c r="A15" s="56" t="s">
        <v>69</v>
      </c>
      <c r="B15" s="54" t="s">
        <v>68</v>
      </c>
      <c r="C15" s="57">
        <v>0.8</v>
      </c>
      <c r="D15" s="57" t="str">
        <f>IF('Pricing Worksheet'!C27,C15," ")</f>
        <v xml:space="preserve"> </v>
      </c>
      <c r="E15" s="170"/>
      <c r="F15" s="170" t="str">
        <f>IF('Pricing Worksheet'!C27,E15," ")</f>
        <v xml:space="preserve"> </v>
      </c>
      <c r="G15" s="172">
        <f t="shared" si="0"/>
        <v>0</v>
      </c>
    </row>
    <row r="16" spans="1:8" ht="19">
      <c r="A16" s="56" t="s">
        <v>109</v>
      </c>
      <c r="B16" s="54" t="s">
        <v>29</v>
      </c>
      <c r="C16" s="57">
        <v>7.6</v>
      </c>
      <c r="D16" s="57">
        <f>IF('Pricing Worksheet'!C28,C16," ")</f>
        <v>7.6</v>
      </c>
      <c r="E16" s="170">
        <v>5</v>
      </c>
      <c r="F16" s="170">
        <f>IF('Pricing Worksheet'!C28,E16," ")</f>
        <v>5</v>
      </c>
      <c r="G16" s="172">
        <f t="shared" si="0"/>
        <v>0.65789473684210531</v>
      </c>
      <c r="H16" t="s">
        <v>345</v>
      </c>
    </row>
    <row r="17" spans="1:8" ht="19">
      <c r="A17" s="56" t="s">
        <v>359</v>
      </c>
      <c r="B17" s="54" t="s">
        <v>187</v>
      </c>
      <c r="C17" s="57">
        <v>11.5</v>
      </c>
      <c r="D17" s="57" t="str">
        <f>IF('Pricing Worksheet'!C30,C17," ")</f>
        <v xml:space="preserve"> </v>
      </c>
      <c r="E17" s="170">
        <v>7</v>
      </c>
      <c r="F17" s="170" t="str">
        <f>IF('Pricing Worksheet'!C30,E17," ")</f>
        <v xml:space="preserve"> </v>
      </c>
      <c r="G17" s="172">
        <f t="shared" si="0"/>
        <v>0.60869565217391308</v>
      </c>
    </row>
    <row r="18" spans="1:8" ht="19">
      <c r="A18" s="56" t="s">
        <v>74</v>
      </c>
      <c r="B18" s="54" t="s">
        <v>20</v>
      </c>
      <c r="C18" s="57">
        <v>41.8</v>
      </c>
      <c r="D18" s="57" t="str">
        <f>IF('Pricing Worksheet'!C35,C18," ")</f>
        <v xml:space="preserve"> </v>
      </c>
      <c r="E18" s="170">
        <v>-7</v>
      </c>
      <c r="F18" s="170" t="str">
        <f>IF('Pricing Worksheet'!C35,E18," ")</f>
        <v xml:space="preserve"> </v>
      </c>
      <c r="G18" s="172">
        <f t="shared" si="0"/>
        <v>-0.1674641148325359</v>
      </c>
      <c r="H18" t="s">
        <v>344</v>
      </c>
    </row>
    <row r="19" spans="1:8" ht="19">
      <c r="A19" s="56" t="s">
        <v>44</v>
      </c>
      <c r="B19" s="54" t="s">
        <v>21</v>
      </c>
      <c r="C19" s="57">
        <v>14.4</v>
      </c>
      <c r="D19" s="57" t="str">
        <f>IF('Pricing Worksheet'!C36,C19," ")</f>
        <v xml:space="preserve"> </v>
      </c>
      <c r="E19" s="170">
        <v>-2</v>
      </c>
      <c r="F19" s="170" t="str">
        <f>IF('Pricing Worksheet'!C36,E19," ")</f>
        <v xml:space="preserve"> </v>
      </c>
      <c r="G19" s="172">
        <f t="shared" si="0"/>
        <v>-0.1388888888888889</v>
      </c>
    </row>
    <row r="20" spans="1:8" ht="19">
      <c r="A20" s="56" t="s">
        <v>81</v>
      </c>
      <c r="B20" s="54" t="s">
        <v>80</v>
      </c>
      <c r="C20" s="58">
        <v>-107</v>
      </c>
      <c r="D20" s="57" t="str">
        <f>IF('Pricing Worksheet'!C39,C20," ")</f>
        <v xml:space="preserve"> </v>
      </c>
      <c r="E20" s="170">
        <v>-28</v>
      </c>
      <c r="F20" s="170" t="str">
        <f>IF('Pricing Worksheet'!C39,E20," ")</f>
        <v xml:space="preserve"> </v>
      </c>
      <c r="G20" s="172">
        <f t="shared" si="0"/>
        <v>0.26168224299065418</v>
      </c>
    </row>
    <row r="21" spans="1:8" ht="19">
      <c r="A21" s="56" t="s">
        <v>7</v>
      </c>
      <c r="B21" s="54" t="s">
        <v>23</v>
      </c>
      <c r="C21" s="57">
        <v>42.4</v>
      </c>
      <c r="D21" s="57" t="str">
        <f>IF('Pricing Worksheet'!C40,C21," ")</f>
        <v xml:space="preserve"> </v>
      </c>
      <c r="E21" s="170"/>
      <c r="F21" s="170" t="str">
        <f>IF('Pricing Worksheet'!C40,E21," ")</f>
        <v xml:space="preserve"> </v>
      </c>
      <c r="G21" s="172">
        <f t="shared" si="0"/>
        <v>0</v>
      </c>
    </row>
    <row r="22" spans="1:8" ht="19">
      <c r="A22" s="56" t="s">
        <v>161</v>
      </c>
      <c r="B22" s="54" t="s">
        <v>160</v>
      </c>
      <c r="C22" s="86">
        <v>2</v>
      </c>
      <c r="D22" s="57" t="str">
        <f>IF('Pricing Worksheet'!C41,C22," ")</f>
        <v xml:space="preserve"> </v>
      </c>
      <c r="E22" s="170">
        <v>2</v>
      </c>
      <c r="F22" s="170" t="str">
        <f>IF('Pricing Worksheet'!C41,E22," ")</f>
        <v xml:space="preserve"> </v>
      </c>
      <c r="G22" s="172">
        <f t="shared" si="0"/>
        <v>1</v>
      </c>
    </row>
    <row r="23" spans="1:8" ht="19">
      <c r="A23" s="56" t="s">
        <v>36</v>
      </c>
      <c r="B23" s="54" t="s">
        <v>24</v>
      </c>
      <c r="C23" s="57">
        <v>1</v>
      </c>
      <c r="D23" s="57" t="str">
        <f>IF('Pricing Worksheet'!C36,C23," ")</f>
        <v xml:space="preserve"> </v>
      </c>
      <c r="E23" s="170"/>
      <c r="F23" s="170" t="str">
        <f>IF('Pricing Worksheet'!C36,E23," ")</f>
        <v xml:space="preserve"> </v>
      </c>
      <c r="G23" s="172">
        <f t="shared" si="0"/>
        <v>0</v>
      </c>
    </row>
    <row r="24" spans="1:8" ht="19">
      <c r="A24" s="56" t="s">
        <v>103</v>
      </c>
      <c r="B24" s="54" t="s">
        <v>92</v>
      </c>
      <c r="C24" s="58">
        <v>-35</v>
      </c>
      <c r="D24" s="57" t="str">
        <f>IF('Pricing Worksheet'!C43,C24," ")</f>
        <v xml:space="preserve"> </v>
      </c>
      <c r="E24" s="171"/>
      <c r="F24" s="170" t="str">
        <f>IF('Pricing Worksheet'!C43,E24," ")</f>
        <v xml:space="preserve"> </v>
      </c>
      <c r="G24" s="172">
        <f t="shared" si="0"/>
        <v>0</v>
      </c>
    </row>
    <row r="25" spans="1:8" ht="19">
      <c r="A25" s="56" t="s">
        <v>171</v>
      </c>
      <c r="B25" s="54" t="s">
        <v>170</v>
      </c>
      <c r="C25" s="58">
        <v>24.2</v>
      </c>
      <c r="D25" s="57" t="str">
        <f>IF('Pricing Worksheet'!C44,C25," ")</f>
        <v xml:space="preserve"> </v>
      </c>
      <c r="E25" s="171"/>
      <c r="F25" s="170" t="str">
        <f>IF('Pricing Worksheet'!C44,E25," ")</f>
        <v xml:space="preserve"> </v>
      </c>
      <c r="G25" s="172">
        <f t="shared" si="0"/>
        <v>0</v>
      </c>
    </row>
    <row r="26" spans="1:8" ht="19">
      <c r="A26" s="56" t="s">
        <v>67</v>
      </c>
      <c r="B26" s="54" t="s">
        <v>25</v>
      </c>
      <c r="C26" s="57">
        <v>6.4</v>
      </c>
      <c r="D26" s="57" t="str">
        <f>IF('Pricing Worksheet'!C46,C26," ")</f>
        <v xml:space="preserve"> </v>
      </c>
      <c r="E26" s="170">
        <v>2</v>
      </c>
      <c r="F26" s="170" t="str">
        <f>IF('Pricing Worksheet'!C46,E26," ")</f>
        <v xml:space="preserve"> </v>
      </c>
      <c r="G26" s="172">
        <f t="shared" si="0"/>
        <v>0.3125</v>
      </c>
    </row>
    <row r="27" spans="1:8" ht="19">
      <c r="A27" s="56" t="s">
        <v>360</v>
      </c>
      <c r="B27" s="54" t="s">
        <v>358</v>
      </c>
      <c r="C27" s="57">
        <v>2.6</v>
      </c>
      <c r="D27" s="57" t="str">
        <f>IF('Pricing Worksheet'!C46,C27," ")</f>
        <v xml:space="preserve"> </v>
      </c>
      <c r="E27" s="170"/>
      <c r="F27" s="170"/>
      <c r="G27" s="172"/>
    </row>
    <row r="28" spans="1:8" ht="19">
      <c r="A28" s="56" t="s">
        <v>132</v>
      </c>
      <c r="B28" s="54" t="s">
        <v>131</v>
      </c>
      <c r="C28" s="57">
        <v>7</v>
      </c>
      <c r="D28" s="57" t="str">
        <f>IF('Pricing Worksheet'!C47,C28," ")</f>
        <v xml:space="preserve"> </v>
      </c>
      <c r="E28" s="170"/>
      <c r="F28" s="170" t="str">
        <f>IF('Pricing Worksheet'!C47,E28," ")</f>
        <v xml:space="preserve"> </v>
      </c>
      <c r="G28" s="172">
        <f t="shared" si="0"/>
        <v>0</v>
      </c>
    </row>
    <row r="29" spans="1:8" ht="19">
      <c r="A29" s="56" t="s">
        <v>1</v>
      </c>
      <c r="B29" s="54" t="s">
        <v>37</v>
      </c>
      <c r="C29" s="57">
        <v>20</v>
      </c>
      <c r="D29" s="57">
        <f>IF('Pricing Worksheet'!C48,C29," ")</f>
        <v>20</v>
      </c>
      <c r="E29" s="170">
        <v>14</v>
      </c>
      <c r="F29" s="170">
        <f>IF('Pricing Worksheet'!C48,E29," ")</f>
        <v>14</v>
      </c>
      <c r="G29" s="172">
        <f t="shared" si="0"/>
        <v>0.7</v>
      </c>
      <c r="H29" s="173" t="s">
        <v>346</v>
      </c>
    </row>
    <row r="30" spans="1:8" ht="19">
      <c r="A30" s="56" t="s">
        <v>46</v>
      </c>
      <c r="B30" s="54" t="s">
        <v>38</v>
      </c>
      <c r="C30" s="57">
        <v>33</v>
      </c>
      <c r="D30" s="57">
        <f>IF('Pricing Worksheet'!C48,C30," ")</f>
        <v>33</v>
      </c>
      <c r="E30" s="170">
        <v>25</v>
      </c>
      <c r="F30" s="170">
        <f>IF('Pricing Worksheet'!C48,E30," ")</f>
        <v>25</v>
      </c>
      <c r="G30" s="172">
        <f t="shared" ref="G30" si="1">E30/C30</f>
        <v>0.75757575757575757</v>
      </c>
      <c r="H30" s="173"/>
    </row>
    <row r="31" spans="1:8" ht="19">
      <c r="A31" s="56" t="s">
        <v>492</v>
      </c>
      <c r="B31" s="54" t="s">
        <v>479</v>
      </c>
      <c r="C31" s="57">
        <v>20</v>
      </c>
      <c r="D31" s="57" t="str">
        <f>IF('Pricing Worksheet'!C49,C31," ")</f>
        <v xml:space="preserve"> </v>
      </c>
      <c r="E31" s="170">
        <f>G31*C31</f>
        <v>6.2</v>
      </c>
      <c r="F31" s="170" t="str">
        <f>IF('Pricing Worksheet'!C49,E31," ")</f>
        <v xml:space="preserve"> </v>
      </c>
      <c r="G31" s="172">
        <v>0.31</v>
      </c>
    </row>
    <row r="32" spans="1:8">
      <c r="C32" s="59" t="s">
        <v>110</v>
      </c>
      <c r="D32" s="59">
        <f>SUM(D3:D31)</f>
        <v>125.39999999999999</v>
      </c>
      <c r="E32" s="59">
        <f>SUM(E3:E31)</f>
        <v>-1.7000000000000055</v>
      </c>
      <c r="F32" s="59">
        <f>SUM(F3:F31)</f>
        <v>32.4</v>
      </c>
    </row>
    <row r="33" spans="1:6">
      <c r="C33" s="59" t="s">
        <v>111</v>
      </c>
      <c r="D33" s="60">
        <v>1400</v>
      </c>
      <c r="E33" s="60">
        <v>190</v>
      </c>
      <c r="F33" s="60">
        <v>190</v>
      </c>
    </row>
    <row r="34" spans="1:6">
      <c r="C34" s="59" t="s">
        <v>112</v>
      </c>
      <c r="D34" s="59">
        <f>D32+D33</f>
        <v>1525.4</v>
      </c>
      <c r="E34" s="59">
        <f>E33+E32</f>
        <v>188.29999999999998</v>
      </c>
      <c r="F34" s="59">
        <f>F32+F33</f>
        <v>222.4</v>
      </c>
    </row>
    <row r="36" spans="1:6">
      <c r="A36" s="62" t="s">
        <v>128</v>
      </c>
      <c r="C36" s="62" t="s">
        <v>127</v>
      </c>
    </row>
    <row r="37" spans="1:6">
      <c r="A37" t="s">
        <v>113</v>
      </c>
      <c r="C37">
        <v>3.2</v>
      </c>
    </row>
    <row r="38" spans="1:6">
      <c r="A38" t="s">
        <v>114</v>
      </c>
      <c r="C38">
        <v>3.2</v>
      </c>
    </row>
    <row r="39" spans="1:6">
      <c r="A39" t="s">
        <v>115</v>
      </c>
      <c r="C39">
        <v>0.1</v>
      </c>
    </row>
    <row r="40" spans="1:6">
      <c r="A40" t="s">
        <v>116</v>
      </c>
      <c r="C40">
        <v>0.6</v>
      </c>
    </row>
    <row r="41" spans="1:6">
      <c r="A41" t="s">
        <v>117</v>
      </c>
      <c r="C41">
        <v>0.2</v>
      </c>
    </row>
    <row r="42" spans="1:6">
      <c r="A42" t="s">
        <v>118</v>
      </c>
      <c r="C42">
        <v>2</v>
      </c>
    </row>
    <row r="44" spans="1:6" hidden="1">
      <c r="A44" t="s">
        <v>119</v>
      </c>
      <c r="C44">
        <v>106</v>
      </c>
    </row>
    <row r="45" spans="1:6" hidden="1">
      <c r="A45" t="s">
        <v>120</v>
      </c>
      <c r="C45">
        <v>77</v>
      </c>
    </row>
    <row r="46" spans="1:6" hidden="1">
      <c r="A46" t="s">
        <v>121</v>
      </c>
      <c r="C46">
        <v>198</v>
      </c>
    </row>
    <row r="47" spans="1:6" hidden="1">
      <c r="A47" t="s">
        <v>122</v>
      </c>
      <c r="C47">
        <v>112</v>
      </c>
    </row>
    <row r="48" spans="1:6" hidden="1"/>
    <row r="49" spans="1:3">
      <c r="A49" t="s">
        <v>123</v>
      </c>
      <c r="C49">
        <f>86+35</f>
        <v>121</v>
      </c>
    </row>
    <row r="51" spans="1:3">
      <c r="A51" t="s">
        <v>502</v>
      </c>
      <c r="C51">
        <v>67</v>
      </c>
    </row>
    <row r="52" spans="1:3">
      <c r="A52" t="s">
        <v>503</v>
      </c>
      <c r="C52">
        <v>20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7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291</v>
      </c>
      <c r="B1" s="371" t="str">
        <f>'Pricing Worksheet'!F2</f>
        <v>Minimalist</v>
      </c>
      <c r="C1" s="371"/>
      <c r="D1" s="371"/>
      <c r="E1" s="372"/>
      <c r="F1" s="372"/>
      <c r="G1" s="16" t="s">
        <v>308</v>
      </c>
      <c r="H1" s="102"/>
      <c r="I1" s="100"/>
      <c r="M1" s="8"/>
    </row>
    <row r="2" spans="1:13" s="5" customFormat="1" ht="43" customHeight="1">
      <c r="A2" s="19" t="s">
        <v>290</v>
      </c>
      <c r="B2" s="371">
        <f>'Pricing Worksheet'!I6</f>
        <v>0</v>
      </c>
      <c r="C2" s="371"/>
      <c r="D2" s="371"/>
      <c r="E2" s="377" t="s">
        <v>375</v>
      </c>
      <c r="F2" s="378"/>
      <c r="G2" s="204"/>
      <c r="H2" s="102"/>
      <c r="I2" s="100"/>
      <c r="M2" s="8"/>
    </row>
    <row r="3" spans="1:13" s="5" customFormat="1" ht="30">
      <c r="A3" s="131" t="str">
        <f>'Pricing Worksheet'!F2</f>
        <v>Minimalist</v>
      </c>
      <c r="B3" s="105"/>
      <c r="C3" s="13" t="s">
        <v>32</v>
      </c>
      <c r="D3" s="14" t="s">
        <v>314</v>
      </c>
      <c r="E3" s="106">
        <v>1</v>
      </c>
      <c r="F3" s="373" t="s">
        <v>211</v>
      </c>
      <c r="G3" s="374"/>
      <c r="H3" s="100"/>
      <c r="I3" s="101"/>
      <c r="J3" s="101"/>
      <c r="K3" s="101"/>
      <c r="L3" s="101"/>
    </row>
    <row r="4" spans="1:13">
      <c r="A4" s="9"/>
      <c r="B4" s="11" t="s">
        <v>11</v>
      </c>
      <c r="C4" s="3"/>
      <c r="D4" s="157"/>
      <c r="E4" s="3">
        <f>IF('Pricing Worksheet'!C39,0,1)</f>
        <v>1</v>
      </c>
      <c r="F4" s="375" t="s">
        <v>319</v>
      </c>
      <c r="G4" s="376"/>
      <c r="H4" s="47"/>
      <c r="I4" s="2"/>
      <c r="J4" s="2"/>
      <c r="K4" s="2"/>
      <c r="L4" s="15"/>
      <c r="M4" s="1"/>
    </row>
    <row r="5" spans="1:13">
      <c r="A5" s="9"/>
      <c r="B5" s="11" t="s">
        <v>80</v>
      </c>
      <c r="C5" s="3"/>
      <c r="D5" s="157"/>
      <c r="E5" s="3">
        <f>IF('Pricing Worksheet'!C39,1,0)</f>
        <v>0</v>
      </c>
      <c r="F5" s="375" t="s">
        <v>318</v>
      </c>
      <c r="G5" s="376"/>
      <c r="H5" s="47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Worksheet'!C41,0,1)</f>
        <v>1</v>
      </c>
      <c r="F6" s="39" t="s">
        <v>374</v>
      </c>
      <c r="G6" s="42"/>
      <c r="H6" s="47"/>
      <c r="I6" s="2"/>
      <c r="J6" s="2"/>
      <c r="K6" s="2"/>
      <c r="L6" s="15"/>
      <c r="M6" s="1"/>
    </row>
    <row r="7" spans="1:13">
      <c r="A7" s="9"/>
      <c r="B7" s="11" t="s">
        <v>176</v>
      </c>
      <c r="C7" s="3"/>
      <c r="D7" s="3"/>
      <c r="E7" s="3">
        <f>IF('Pricing Worksheet'!C41,1,0)</f>
        <v>0</v>
      </c>
      <c r="F7" s="39" t="s">
        <v>178</v>
      </c>
      <c r="G7" s="42"/>
      <c r="H7" s="47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39" t="s">
        <v>305</v>
      </c>
      <c r="G8" s="42"/>
      <c r="H8" s="47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39" t="s">
        <v>212</v>
      </c>
      <c r="G9" s="42"/>
      <c r="H9" s="47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39" t="s">
        <v>93</v>
      </c>
      <c r="G10" s="42"/>
      <c r="H10" s="47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39" t="s">
        <v>194</v>
      </c>
      <c r="G11" s="42"/>
      <c r="H11" s="47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39" t="s">
        <v>173</v>
      </c>
      <c r="G12" s="42"/>
      <c r="H12" s="47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39" t="s">
        <v>213</v>
      </c>
      <c r="G13" s="42"/>
      <c r="H13" s="47"/>
      <c r="I13" s="2"/>
      <c r="J13" s="2"/>
      <c r="K13" s="2"/>
      <c r="M13" s="1"/>
    </row>
    <row r="14" spans="1:13">
      <c r="A14" s="9"/>
      <c r="B14" s="11" t="s">
        <v>11</v>
      </c>
      <c r="C14" s="3"/>
      <c r="D14" s="157"/>
      <c r="E14" s="3">
        <f>IF('Pricing Worksheet'!C13,0,1)</f>
        <v>1</v>
      </c>
      <c r="F14" s="151" t="s">
        <v>83</v>
      </c>
      <c r="G14" s="142"/>
      <c r="H14" s="47"/>
      <c r="I14" s="2"/>
      <c r="J14" s="2"/>
      <c r="K14" s="2"/>
      <c r="M14" s="1"/>
    </row>
    <row r="15" spans="1:13">
      <c r="A15" s="9"/>
      <c r="B15" s="11" t="s">
        <v>13</v>
      </c>
      <c r="C15" s="3"/>
      <c r="D15" s="157"/>
      <c r="E15" s="3">
        <f>IF('Pricing Worksheet'!C13,1,0)</f>
        <v>0</v>
      </c>
      <c r="F15" s="151" t="s">
        <v>214</v>
      </c>
      <c r="G15" s="142"/>
      <c r="H15" s="47"/>
      <c r="I15" s="2"/>
      <c r="J15" s="2"/>
      <c r="K15" s="2"/>
      <c r="M15" s="1"/>
    </row>
    <row r="16" spans="1:13">
      <c r="A16" s="43"/>
      <c r="B16" s="11" t="s">
        <v>14</v>
      </c>
      <c r="C16" s="3"/>
      <c r="D16" s="157"/>
      <c r="E16" s="6">
        <f>IF('Pricing Worksheet'!C14,1,0)</f>
        <v>0</v>
      </c>
      <c r="F16" s="151" t="s">
        <v>315</v>
      </c>
      <c r="G16" s="142"/>
      <c r="H16" s="47"/>
      <c r="I16" s="2"/>
      <c r="J16" s="2"/>
      <c r="K16" s="2"/>
      <c r="M16" s="1"/>
    </row>
    <row r="17" spans="1:13">
      <c r="A17" s="43"/>
      <c r="B17" s="11" t="s">
        <v>18</v>
      </c>
      <c r="C17" s="3"/>
      <c r="D17" s="157"/>
      <c r="E17" s="6">
        <f>IF('Pricing Worksheet'!C15,1,0)</f>
        <v>0</v>
      </c>
      <c r="F17" s="151" t="s">
        <v>316</v>
      </c>
      <c r="G17" s="142"/>
      <c r="H17" s="47"/>
      <c r="I17" s="2"/>
      <c r="J17" s="2"/>
      <c r="K17" s="2"/>
      <c r="M17" s="1"/>
    </row>
    <row r="18" spans="1:13">
      <c r="A18" s="9"/>
      <c r="B18" s="11" t="s">
        <v>11</v>
      </c>
      <c r="C18" s="3"/>
      <c r="D18" s="157"/>
      <c r="E18" s="6">
        <v>1</v>
      </c>
      <c r="F18" s="151" t="s">
        <v>216</v>
      </c>
      <c r="G18" s="142"/>
      <c r="H18" s="47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Worksheet'!C40,1,0)</f>
        <v>0</v>
      </c>
      <c r="F19" s="39" t="s">
        <v>90</v>
      </c>
      <c r="G19" s="42"/>
      <c r="H19" s="47"/>
      <c r="I19" s="2"/>
      <c r="J19" s="2"/>
      <c r="K19" s="2"/>
      <c r="M19" s="1"/>
    </row>
    <row r="20" spans="1:13">
      <c r="A20" s="132" t="str">
        <f>'Pricing Worksheet'!F2</f>
        <v>Minimalist</v>
      </c>
      <c r="B20" s="107"/>
      <c r="C20" s="13" t="s">
        <v>32</v>
      </c>
      <c r="D20" s="14" t="s">
        <v>314</v>
      </c>
      <c r="E20" s="108">
        <v>1</v>
      </c>
      <c r="F20" s="385" t="s">
        <v>215</v>
      </c>
      <c r="G20" s="386"/>
      <c r="H20" s="47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0</v>
      </c>
      <c r="F21" s="39" t="s">
        <v>54</v>
      </c>
      <c r="G21" s="42"/>
      <c r="H21" s="47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39" t="s">
        <v>49</v>
      </c>
      <c r="G22" s="42"/>
      <c r="H22" s="47"/>
      <c r="I22" s="2"/>
      <c r="J22" s="2"/>
      <c r="K22" s="2"/>
      <c r="M22" s="1"/>
    </row>
    <row r="23" spans="1:13">
      <c r="A23" s="23"/>
      <c r="B23" s="11" t="s">
        <v>11</v>
      </c>
      <c r="C23" s="22"/>
      <c r="D23" s="158"/>
      <c r="E23" s="3">
        <v>1</v>
      </c>
      <c r="F23" s="151" t="s">
        <v>218</v>
      </c>
      <c r="G23" s="142"/>
      <c r="H23" s="47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39" t="s">
        <v>263</v>
      </c>
      <c r="G24" s="42"/>
      <c r="H24" s="47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0</v>
      </c>
      <c r="F25" s="364" t="s">
        <v>317</v>
      </c>
      <c r="G25" s="365"/>
      <c r="H25" s="47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0</v>
      </c>
      <c r="F26" s="39" t="s">
        <v>217</v>
      </c>
      <c r="G26" s="42"/>
      <c r="H26" s="47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0" t="s">
        <v>283</v>
      </c>
      <c r="G27" s="42"/>
      <c r="H27" s="47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Worksheet'!C35,1,0)</f>
        <v>0</v>
      </c>
      <c r="F28" s="40" t="s">
        <v>309</v>
      </c>
      <c r="G28" s="42"/>
      <c r="H28" s="47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0</v>
      </c>
      <c r="F29" s="40" t="s">
        <v>262</v>
      </c>
      <c r="G29" s="42"/>
      <c r="H29" s="47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0" t="s">
        <v>219</v>
      </c>
      <c r="G30" s="42"/>
      <c r="H30" s="47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0</v>
      </c>
      <c r="F31" s="40" t="s">
        <v>47</v>
      </c>
      <c r="G31" s="42"/>
      <c r="H31" s="47"/>
      <c r="I31" s="2"/>
      <c r="J31" s="2"/>
      <c r="K31" s="2"/>
      <c r="L31"/>
      <c r="M31" s="1"/>
    </row>
    <row r="32" spans="1:13">
      <c r="A32" s="111" t="str">
        <f>'Pricing Worksheet'!F2</f>
        <v>Minimalist</v>
      </c>
      <c r="B32" s="110"/>
      <c r="C32" s="13" t="s">
        <v>32</v>
      </c>
      <c r="D32" s="14" t="s">
        <v>314</v>
      </c>
      <c r="E32" s="109">
        <v>1</v>
      </c>
      <c r="F32" s="381" t="s">
        <v>220</v>
      </c>
      <c r="G32" s="382"/>
      <c r="H32" s="47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0" t="s">
        <v>221</v>
      </c>
      <c r="G33" s="42"/>
      <c r="H33" s="47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0" t="s">
        <v>222</v>
      </c>
      <c r="G34" s="42"/>
      <c r="H34" s="47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0" t="s">
        <v>223</v>
      </c>
      <c r="G35" s="42"/>
      <c r="H35" s="47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0" t="s">
        <v>224</v>
      </c>
      <c r="G36" s="42"/>
      <c r="H36" s="47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0" t="s">
        <v>264</v>
      </c>
      <c r="G37" s="42"/>
      <c r="H37" s="47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0" t="s">
        <v>370</v>
      </c>
      <c r="G38" s="42"/>
      <c r="H38" s="47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0" t="s">
        <v>225</v>
      </c>
      <c r="G39" s="42"/>
      <c r="H39" s="47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0" t="s">
        <v>50</v>
      </c>
      <c r="G40" s="42"/>
      <c r="H40" s="47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53" t="s">
        <v>369</v>
      </c>
      <c r="G41" s="154"/>
      <c r="H41" s="47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0" t="s">
        <v>226</v>
      </c>
      <c r="G42" s="42"/>
      <c r="H42" s="47"/>
      <c r="I42" s="1"/>
      <c r="M42" s="1"/>
    </row>
    <row r="43" spans="1:13">
      <c r="A43" s="9"/>
      <c r="B43" s="11" t="s">
        <v>68</v>
      </c>
      <c r="C43" s="3"/>
      <c r="D43" s="157"/>
      <c r="E43" s="6">
        <f>IF('Pricing Worksheet'!C27,1,0)</f>
        <v>0</v>
      </c>
      <c r="F43" s="152" t="s">
        <v>84</v>
      </c>
      <c r="G43" s="142"/>
      <c r="H43" s="47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0" t="s">
        <v>227</v>
      </c>
      <c r="G44" s="42"/>
      <c r="H44" s="47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43" t="s">
        <v>296</v>
      </c>
      <c r="G45" s="42"/>
      <c r="H45" s="47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0" t="s">
        <v>284</v>
      </c>
      <c r="G46" s="42"/>
      <c r="H46" s="47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0" t="s">
        <v>282</v>
      </c>
      <c r="G47" s="42"/>
      <c r="H47" s="47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1" t="s">
        <v>285</v>
      </c>
      <c r="G48" s="42"/>
      <c r="H48" s="47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0" t="s">
        <v>51</v>
      </c>
      <c r="G49" s="42"/>
      <c r="H49" s="47"/>
      <c r="I49" s="1"/>
      <c r="M49" s="1"/>
    </row>
    <row r="50" spans="1:13">
      <c r="A50" s="30"/>
      <c r="B50" s="64" t="s">
        <v>11</v>
      </c>
      <c r="C50" s="65"/>
      <c r="D50" s="3"/>
      <c r="E50" s="66">
        <v>1</v>
      </c>
      <c r="F50" s="97" t="s">
        <v>286</v>
      </c>
      <c r="G50" s="42"/>
      <c r="H50" s="47"/>
      <c r="I50" s="1"/>
      <c r="M50" s="1"/>
    </row>
    <row r="51" spans="1:13">
      <c r="A51" s="114" t="str">
        <f>'Pricing Worksheet'!F2</f>
        <v>Minimalist</v>
      </c>
      <c r="B51" s="112"/>
      <c r="C51" s="13" t="s">
        <v>32</v>
      </c>
      <c r="D51" s="14" t="s">
        <v>314</v>
      </c>
      <c r="E51" s="113">
        <v>1</v>
      </c>
      <c r="F51" s="393" t="s">
        <v>228</v>
      </c>
      <c r="G51" s="394"/>
      <c r="H51" s="47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39" t="s">
        <v>229</v>
      </c>
      <c r="G52" s="42"/>
      <c r="H52" s="47"/>
      <c r="I52" s="1"/>
      <c r="M52" s="1"/>
    </row>
    <row r="53" spans="1:13">
      <c r="A53" s="9"/>
      <c r="B53" s="11" t="s">
        <v>11</v>
      </c>
      <c r="C53" s="3"/>
      <c r="D53" s="157"/>
      <c r="E53" s="3">
        <v>1</v>
      </c>
      <c r="F53" s="151" t="s">
        <v>230</v>
      </c>
      <c r="G53" s="142"/>
      <c r="H53" s="47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39" t="s">
        <v>231</v>
      </c>
      <c r="G54" s="42"/>
      <c r="H54" s="47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39" t="s">
        <v>232</v>
      </c>
      <c r="G55" s="42"/>
      <c r="H55" s="47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Worksheet'!C35,1,0)</f>
        <v>0</v>
      </c>
      <c r="F56" s="39" t="s">
        <v>233</v>
      </c>
      <c r="G56" s="42"/>
      <c r="H56" s="47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39" t="s">
        <v>362</v>
      </c>
      <c r="G57" s="42"/>
      <c r="H57" s="47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39" t="s">
        <v>234</v>
      </c>
      <c r="G58" s="42"/>
      <c r="H58" s="47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39" t="s">
        <v>287</v>
      </c>
      <c r="G59" s="42"/>
      <c r="H59" s="47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39" t="s">
        <v>85</v>
      </c>
      <c r="G60" s="42"/>
      <c r="H60" s="47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0</v>
      </c>
      <c r="F61" s="39" t="s">
        <v>363</v>
      </c>
      <c r="G61" s="42"/>
      <c r="H61" s="16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39" t="s">
        <v>303</v>
      </c>
      <c r="G62" s="42"/>
      <c r="H62" s="47"/>
      <c r="I62" s="1"/>
      <c r="M62" s="1"/>
    </row>
    <row r="63" spans="1:13">
      <c r="A63" s="9"/>
      <c r="B63" s="11" t="s">
        <v>11</v>
      </c>
      <c r="C63" s="3"/>
      <c r="D63" s="157"/>
      <c r="E63" s="3">
        <v>1</v>
      </c>
      <c r="F63" s="151" t="s">
        <v>364</v>
      </c>
      <c r="G63" s="142"/>
      <c r="H63" s="47"/>
      <c r="I63" s="1"/>
      <c r="L63" s="8"/>
      <c r="M63" s="1"/>
    </row>
    <row r="64" spans="1:13">
      <c r="A64" s="9"/>
      <c r="B64" s="11" t="s">
        <v>11</v>
      </c>
      <c r="C64" s="3"/>
      <c r="D64" s="157"/>
      <c r="E64" s="3">
        <v>1</v>
      </c>
      <c r="F64" s="151" t="s">
        <v>365</v>
      </c>
      <c r="G64" s="142"/>
      <c r="H64" s="47"/>
      <c r="I64" s="1"/>
      <c r="M64" s="1"/>
    </row>
    <row r="65" spans="1:13">
      <c r="A65" s="9"/>
      <c r="B65" s="11" t="s">
        <v>24</v>
      </c>
      <c r="C65" s="3"/>
      <c r="D65" s="157"/>
      <c r="E65" s="3">
        <f>IF('Pricing Worksheet'!C42,1,0)</f>
        <v>0</v>
      </c>
      <c r="F65" s="151" t="s">
        <v>366</v>
      </c>
      <c r="G65" s="142"/>
      <c r="H65" s="47"/>
      <c r="I65" s="1"/>
      <c r="M65" s="1"/>
    </row>
    <row r="66" spans="1:13">
      <c r="A66" s="9"/>
      <c r="B66" s="11" t="s">
        <v>25</v>
      </c>
      <c r="C66" s="3"/>
      <c r="D66" s="157"/>
      <c r="E66" s="3">
        <f>IF('Pricing Worksheet'!C45,1,0)</f>
        <v>0</v>
      </c>
      <c r="F66" s="151" t="s">
        <v>320</v>
      </c>
      <c r="G66" s="142"/>
      <c r="H66" s="47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39" t="s">
        <v>367</v>
      </c>
      <c r="G67" s="42"/>
      <c r="H67" s="47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0</v>
      </c>
      <c r="F68" s="39" t="s">
        <v>368</v>
      </c>
      <c r="G68" s="42"/>
      <c r="H68" s="47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Worksheet'!C35,1,0)</f>
        <v>0</v>
      </c>
      <c r="F69" s="39" t="s">
        <v>101</v>
      </c>
      <c r="G69" s="42"/>
      <c r="H69" s="47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39" t="s">
        <v>96</v>
      </c>
      <c r="G70" s="42"/>
      <c r="H70" s="47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39" t="s">
        <v>292</v>
      </c>
      <c r="G71" s="42"/>
      <c r="H71" s="47"/>
      <c r="I71" s="1"/>
      <c r="M71" s="1"/>
    </row>
    <row r="72" spans="1:13">
      <c r="A72" s="115" t="str">
        <f>'Pricing Worksheet'!F2</f>
        <v>Minimalist</v>
      </c>
      <c r="B72" s="116"/>
      <c r="C72" s="13" t="s">
        <v>32</v>
      </c>
      <c r="D72" s="14" t="s">
        <v>314</v>
      </c>
      <c r="E72" s="117">
        <v>1</v>
      </c>
      <c r="F72" s="379" t="s">
        <v>235</v>
      </c>
      <c r="G72" s="380"/>
      <c r="H72" s="47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39" t="s">
        <v>236</v>
      </c>
      <c r="G73" s="42"/>
      <c r="H73" s="47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39" t="s">
        <v>335</v>
      </c>
      <c r="G74" s="42"/>
      <c r="H74" s="47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39" t="s">
        <v>237</v>
      </c>
      <c r="G75" s="42"/>
      <c r="H75" s="47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39" t="s">
        <v>333</v>
      </c>
      <c r="G76" s="42"/>
      <c r="H76" s="47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39" t="s">
        <v>238</v>
      </c>
      <c r="G77" s="42"/>
      <c r="H77" s="47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39" t="s">
        <v>239</v>
      </c>
      <c r="G78" s="42"/>
      <c r="H78" s="47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39" t="s">
        <v>281</v>
      </c>
      <c r="G79" s="42"/>
      <c r="H79" s="47"/>
      <c r="I79" s="1"/>
      <c r="M79" s="1"/>
    </row>
    <row r="80" spans="1:13">
      <c r="A80" s="30"/>
      <c r="B80" s="11" t="s">
        <v>11</v>
      </c>
      <c r="C80" s="65"/>
      <c r="D80" s="3"/>
      <c r="E80" s="3">
        <v>1</v>
      </c>
      <c r="F80" s="98" t="s">
        <v>240</v>
      </c>
      <c r="G80" s="42"/>
      <c r="H80" s="47"/>
      <c r="I80" s="1"/>
      <c r="M80" s="1"/>
    </row>
    <row r="81" spans="1:13">
      <c r="A81" s="30"/>
      <c r="B81" s="11" t="s">
        <v>13</v>
      </c>
      <c r="C81" s="65"/>
      <c r="D81" s="3"/>
      <c r="E81" s="3">
        <f>IF('Pricing Worksheet'!C13,1,0)</f>
        <v>0</v>
      </c>
      <c r="F81" s="98" t="s">
        <v>242</v>
      </c>
      <c r="G81" s="42"/>
      <c r="H81" s="47"/>
      <c r="I81" s="1"/>
      <c r="M81" s="1"/>
    </row>
    <row r="82" spans="1:13">
      <c r="A82" s="118" t="str">
        <f>'Pricing Worksheet'!F2</f>
        <v>Minimalist</v>
      </c>
      <c r="B82" s="139"/>
      <c r="C82" s="13" t="s">
        <v>32</v>
      </c>
      <c r="D82" s="14" t="s">
        <v>314</v>
      </c>
      <c r="E82" s="140">
        <v>1</v>
      </c>
      <c r="F82" s="367" t="s">
        <v>241</v>
      </c>
      <c r="G82" s="368"/>
      <c r="H82" s="47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39" t="s">
        <v>243</v>
      </c>
      <c r="G83" s="42"/>
      <c r="H83" s="47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0" t="s">
        <v>100</v>
      </c>
      <c r="G84" s="42"/>
      <c r="H84" s="47"/>
      <c r="I84" s="1"/>
      <c r="L84"/>
      <c r="M84" s="1"/>
    </row>
    <row r="85" spans="1:13">
      <c r="A85" s="24"/>
      <c r="B85" s="20" t="s">
        <v>15</v>
      </c>
      <c r="C85" s="21"/>
      <c r="D85" s="159"/>
      <c r="E85" s="6">
        <f>IF('Pricing Worksheet'!C16,1,0)</f>
        <v>0</v>
      </c>
      <c r="F85" s="152" t="s">
        <v>174</v>
      </c>
      <c r="G85" s="142"/>
      <c r="H85" s="47"/>
      <c r="I85" s="1"/>
      <c r="M85" s="1"/>
    </row>
    <row r="86" spans="1:13">
      <c r="A86" s="24"/>
      <c r="B86" s="20" t="s">
        <v>16</v>
      </c>
      <c r="C86" s="21"/>
      <c r="D86" s="159"/>
      <c r="E86" s="6">
        <f>IF('Pricing Worksheet'!C17,1,0)</f>
        <v>1</v>
      </c>
      <c r="F86" s="152" t="s">
        <v>175</v>
      </c>
      <c r="G86" s="142"/>
      <c r="H86" s="47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39" t="s">
        <v>244</v>
      </c>
      <c r="G87" s="42"/>
      <c r="H87" s="47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0" t="s">
        <v>311</v>
      </c>
      <c r="G88" s="42"/>
      <c r="H88" s="47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0" t="s">
        <v>311</v>
      </c>
      <c r="G89" s="42"/>
      <c r="H89" s="47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39" t="s">
        <v>297</v>
      </c>
      <c r="G90" s="42"/>
      <c r="H90" s="47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39" t="s">
        <v>55</v>
      </c>
      <c r="G91" s="42"/>
      <c r="H91" s="47"/>
      <c r="I91" s="1"/>
      <c r="M91" s="1"/>
    </row>
    <row r="92" spans="1:13">
      <c r="A92" s="119" t="str">
        <f>'Pricing Worksheet'!F2</f>
        <v>Minimalist</v>
      </c>
      <c r="B92" s="120"/>
      <c r="C92" s="13" t="s">
        <v>32</v>
      </c>
      <c r="D92" s="14" t="s">
        <v>314</v>
      </c>
      <c r="E92" s="121">
        <v>1</v>
      </c>
      <c r="F92" s="391" t="s">
        <v>248</v>
      </c>
      <c r="G92" s="392"/>
      <c r="H92" s="47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39" t="s">
        <v>265</v>
      </c>
      <c r="G93" s="42"/>
      <c r="H93" s="47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39" t="s">
        <v>267</v>
      </c>
      <c r="G94" s="42"/>
      <c r="H94" s="47"/>
      <c r="I94" s="1"/>
      <c r="M94" s="1"/>
    </row>
    <row r="95" spans="1:13">
      <c r="A95" s="9"/>
      <c r="B95" s="11" t="s">
        <v>27</v>
      </c>
      <c r="C95" s="3"/>
      <c r="D95" s="157"/>
      <c r="E95" s="3">
        <f>IF('Pricing Worksheet'!C25,1,0)</f>
        <v>0</v>
      </c>
      <c r="F95" s="151" t="s">
        <v>266</v>
      </c>
      <c r="G95" s="142"/>
      <c r="H95" s="47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Worksheet'!C29,0,1)</f>
        <v>1</v>
      </c>
      <c r="F96" s="39" t="s">
        <v>268</v>
      </c>
      <c r="G96" s="42"/>
      <c r="H96" s="47"/>
      <c r="I96" s="1"/>
      <c r="M96" s="1"/>
    </row>
    <row r="97" spans="1:13">
      <c r="A97" s="9"/>
      <c r="B97" s="11" t="s">
        <v>169</v>
      </c>
      <c r="C97" s="3"/>
      <c r="D97" s="3"/>
      <c r="E97" s="3">
        <f>IF('Pricing Worksheet'!C29,1,0)</f>
        <v>0</v>
      </c>
      <c r="F97" s="39" t="s">
        <v>324</v>
      </c>
      <c r="G97" s="42"/>
      <c r="H97" s="47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39" t="s">
        <v>269</v>
      </c>
      <c r="G98" s="42"/>
      <c r="H98" s="47"/>
      <c r="I98" s="1"/>
      <c r="M98" s="1"/>
    </row>
    <row r="99" spans="1:13">
      <c r="A99" s="9"/>
      <c r="B99" s="11" t="s">
        <v>11</v>
      </c>
      <c r="C99" s="3"/>
      <c r="D99" s="157"/>
      <c r="E99" s="3">
        <v>1</v>
      </c>
      <c r="F99" s="151" t="s">
        <v>325</v>
      </c>
      <c r="G99" s="142"/>
      <c r="H99" s="47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39" t="s">
        <v>322</v>
      </c>
      <c r="G100" s="42"/>
      <c r="H100" s="47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39" t="s">
        <v>323</v>
      </c>
      <c r="G101" s="42"/>
      <c r="H101" s="47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39" t="s">
        <v>270</v>
      </c>
      <c r="G102" s="42"/>
      <c r="H102" s="47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Worksheet'!C35,1,0)</f>
        <v>0</v>
      </c>
      <c r="F103" s="39" t="s">
        <v>313</v>
      </c>
      <c r="G103" s="42"/>
      <c r="H103" s="47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Worksheet'!C27,1,0)</f>
        <v>0</v>
      </c>
      <c r="F104" s="40" t="s">
        <v>271</v>
      </c>
      <c r="G104" s="42"/>
      <c r="H104" s="47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87" t="s">
        <v>294</v>
      </c>
      <c r="G105" s="388"/>
      <c r="H105" s="47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0" t="s">
        <v>336</v>
      </c>
      <c r="G106" s="155"/>
      <c r="H106" s="47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0" t="s">
        <v>334</v>
      </c>
      <c r="G107" s="155"/>
      <c r="H107" s="47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Worksheet'!C28,1,0)</f>
        <v>1</v>
      </c>
      <c r="F108" s="39" t="s">
        <v>288</v>
      </c>
      <c r="G108" s="42"/>
      <c r="H108" s="47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39" t="s">
        <v>321</v>
      </c>
      <c r="G109" s="42"/>
      <c r="H109" s="47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0" t="s">
        <v>310</v>
      </c>
      <c r="G110" s="42"/>
      <c r="H110" s="47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Worksheet'!C31,0,1)</f>
        <v>1</v>
      </c>
      <c r="F111" s="39" t="s">
        <v>245</v>
      </c>
      <c r="G111" s="42"/>
      <c r="H111" s="47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Worksheet'!C31,1,0)</f>
        <v>0</v>
      </c>
      <c r="F112" s="39" t="s">
        <v>373</v>
      </c>
      <c r="G112" s="42"/>
      <c r="H112" s="47"/>
      <c r="I112" s="1"/>
      <c r="M112" s="1"/>
    </row>
    <row r="113" spans="1:13">
      <c r="A113" s="122" t="str">
        <f>'Pricing Worksheet'!F2</f>
        <v>Minimalist</v>
      </c>
      <c r="B113" s="123"/>
      <c r="C113" s="13" t="s">
        <v>32</v>
      </c>
      <c r="D113" s="14" t="s">
        <v>314</v>
      </c>
      <c r="E113" s="124">
        <v>1</v>
      </c>
      <c r="F113" s="369" t="s">
        <v>273</v>
      </c>
      <c r="G113" s="370"/>
      <c r="H113" s="47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39" t="s">
        <v>79</v>
      </c>
      <c r="G114" s="42"/>
      <c r="H114" s="47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0" t="s">
        <v>312</v>
      </c>
      <c r="G115" s="42"/>
      <c r="H115" s="47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0" t="s">
        <v>246</v>
      </c>
      <c r="G116" s="42"/>
      <c r="H116" s="47"/>
      <c r="I116" s="1"/>
      <c r="M116" s="1"/>
    </row>
    <row r="117" spans="1:13">
      <c r="A117" s="9"/>
      <c r="B117" s="11" t="s">
        <v>133</v>
      </c>
      <c r="C117" s="3"/>
      <c r="D117" s="3"/>
      <c r="E117" s="6">
        <f>IF('Pricing Worksheet'!C21,1,0)</f>
        <v>0</v>
      </c>
      <c r="F117" s="39" t="s">
        <v>134</v>
      </c>
      <c r="G117" s="42"/>
      <c r="H117" s="47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39" t="s">
        <v>247</v>
      </c>
      <c r="G118" s="42"/>
      <c r="H118" s="47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39" t="s">
        <v>249</v>
      </c>
      <c r="G119" s="42"/>
      <c r="H119" s="47"/>
      <c r="I119" s="1"/>
      <c r="M119" s="1"/>
    </row>
    <row r="120" spans="1:13">
      <c r="A120" s="9"/>
      <c r="B120" s="11" t="s">
        <v>11</v>
      </c>
      <c r="C120" s="22"/>
      <c r="D120" s="158"/>
      <c r="E120" s="6">
        <v>1</v>
      </c>
      <c r="F120" s="152" t="s">
        <v>326</v>
      </c>
      <c r="G120" s="142"/>
      <c r="H120" s="47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39" t="s">
        <v>56</v>
      </c>
      <c r="G121" s="42"/>
      <c r="H121" s="47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39" t="s">
        <v>60</v>
      </c>
      <c r="G122" s="42"/>
      <c r="H122" s="47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39" t="s">
        <v>250</v>
      </c>
      <c r="G123" s="42"/>
      <c r="H123" s="47"/>
      <c r="I123" s="1"/>
      <c r="M123" s="1"/>
    </row>
    <row r="124" spans="1:13">
      <c r="A124" s="25"/>
      <c r="B124" s="20" t="s">
        <v>168</v>
      </c>
      <c r="C124" s="21"/>
      <c r="D124" s="21"/>
      <c r="E124" s="6">
        <f>IF('Pricing Worksheet'!C47,1,0)</f>
        <v>0</v>
      </c>
      <c r="F124" s="40" t="s">
        <v>295</v>
      </c>
      <c r="G124" s="42"/>
      <c r="H124" s="47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0" t="s">
        <v>251</v>
      </c>
      <c r="G125" s="42"/>
      <c r="H125" s="47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0" t="s">
        <v>252</v>
      </c>
      <c r="G126" s="42"/>
      <c r="H126" s="47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39" t="s">
        <v>94</v>
      </c>
      <c r="G127" s="46"/>
      <c r="H127" s="47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Worksheet'!C48,1,0)</f>
        <v>1</v>
      </c>
      <c r="F128" s="40" t="s">
        <v>196</v>
      </c>
      <c r="G128" s="42"/>
      <c r="H128" s="47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Worksheet'!C49,1,0)</f>
        <v>0</v>
      </c>
      <c r="F129" s="40" t="s">
        <v>197</v>
      </c>
      <c r="G129" s="42"/>
      <c r="H129" s="47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0" t="s">
        <v>253</v>
      </c>
      <c r="G130" s="42"/>
      <c r="H130" s="47"/>
      <c r="I130" s="1"/>
      <c r="M130" s="1"/>
    </row>
    <row r="131" spans="1:13">
      <c r="A131" s="9"/>
      <c r="B131" s="11" t="s">
        <v>11</v>
      </c>
      <c r="C131" s="3"/>
      <c r="D131" s="157"/>
      <c r="E131" s="3">
        <v>1</v>
      </c>
      <c r="F131" s="151" t="s">
        <v>304</v>
      </c>
      <c r="G131" s="142"/>
      <c r="H131" s="47"/>
      <c r="I131" s="1"/>
      <c r="M131" s="1"/>
    </row>
    <row r="132" spans="1:13">
      <c r="A132" s="9"/>
      <c r="B132" s="11" t="s">
        <v>11</v>
      </c>
      <c r="C132" s="3"/>
      <c r="D132" s="157"/>
      <c r="E132" s="3">
        <v>1</v>
      </c>
      <c r="F132" s="151" t="s">
        <v>371</v>
      </c>
      <c r="G132" s="142"/>
      <c r="H132" s="47"/>
      <c r="I132" s="1"/>
      <c r="M132" s="1"/>
    </row>
    <row r="133" spans="1:13">
      <c r="A133" s="125" t="str">
        <f>'Pricing Worksheet'!F2</f>
        <v>Minimalist</v>
      </c>
      <c r="B133" s="126"/>
      <c r="C133" s="13" t="s">
        <v>32</v>
      </c>
      <c r="D133" s="14" t="s">
        <v>314</v>
      </c>
      <c r="E133" s="127">
        <v>1</v>
      </c>
      <c r="F133" s="389" t="s">
        <v>272</v>
      </c>
      <c r="G133" s="390"/>
      <c r="H133" s="47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39" t="s">
        <v>254</v>
      </c>
      <c r="G134" s="42"/>
      <c r="H134" s="47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Worksheet'!C36,1,0)</f>
        <v>0</v>
      </c>
      <c r="F135" s="39" t="s">
        <v>64</v>
      </c>
      <c r="G135" s="42"/>
      <c r="H135" s="47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Worksheet'!C36,1,0)</f>
        <v>0</v>
      </c>
      <c r="F136" s="39" t="s">
        <v>63</v>
      </c>
      <c r="G136" s="42"/>
      <c r="H136" s="47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39" t="s">
        <v>88</v>
      </c>
      <c r="G137" s="42"/>
      <c r="H137" s="47"/>
      <c r="I137" s="1"/>
      <c r="M137" s="1"/>
    </row>
    <row r="138" spans="1:13">
      <c r="A138" s="9"/>
      <c r="B138" s="44" t="s">
        <v>11</v>
      </c>
      <c r="C138" s="45"/>
      <c r="D138" s="45"/>
      <c r="E138" s="45">
        <v>1</v>
      </c>
      <c r="F138" s="50" t="s">
        <v>89</v>
      </c>
      <c r="G138" s="42"/>
      <c r="H138" s="47"/>
      <c r="I138" s="1"/>
      <c r="M138" s="1"/>
    </row>
    <row r="139" spans="1:13">
      <c r="A139" s="9"/>
      <c r="B139" s="44" t="s">
        <v>11</v>
      </c>
      <c r="C139" s="45"/>
      <c r="D139" s="162"/>
      <c r="E139" s="45">
        <v>1</v>
      </c>
      <c r="F139" s="160" t="s">
        <v>97</v>
      </c>
      <c r="G139" s="161"/>
      <c r="H139" s="47"/>
      <c r="I139" s="1"/>
      <c r="M139" s="1"/>
    </row>
    <row r="140" spans="1:13">
      <c r="A140" s="130" t="str">
        <f>'Pricing Worksheet'!F2</f>
        <v>Minimalist</v>
      </c>
      <c r="B140" s="128"/>
      <c r="C140" s="13" t="s">
        <v>32</v>
      </c>
      <c r="D140" s="14" t="s">
        <v>314</v>
      </c>
      <c r="E140" s="129">
        <v>1</v>
      </c>
      <c r="F140" s="383" t="s">
        <v>274</v>
      </c>
      <c r="G140" s="384"/>
      <c r="H140" s="47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64" t="s">
        <v>293</v>
      </c>
      <c r="G141" s="365"/>
      <c r="H141" s="47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39" t="s">
        <v>289</v>
      </c>
      <c r="G142" s="42"/>
      <c r="H142" s="47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39" t="s">
        <v>57</v>
      </c>
      <c r="G143" s="42"/>
      <c r="H143" s="47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64" t="s">
        <v>299</v>
      </c>
      <c r="G144" s="365"/>
      <c r="H144" s="47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39" t="s">
        <v>62</v>
      </c>
      <c r="G145" s="42"/>
      <c r="H145" s="47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0</v>
      </c>
      <c r="F146" s="39" t="s">
        <v>255</v>
      </c>
      <c r="G146" s="42"/>
      <c r="H146" s="47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39" t="s">
        <v>95</v>
      </c>
      <c r="G147" s="42"/>
      <c r="H147" s="47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39" t="s">
        <v>195</v>
      </c>
      <c r="G148" s="42"/>
      <c r="H148" s="47"/>
      <c r="I148" s="1"/>
      <c r="L148"/>
      <c r="M148" s="1"/>
    </row>
    <row r="149" spans="1:13">
      <c r="A149" s="25"/>
      <c r="B149" s="20" t="s">
        <v>11</v>
      </c>
      <c r="C149" s="21"/>
      <c r="D149" s="159"/>
      <c r="E149" s="6">
        <v>1</v>
      </c>
      <c r="F149" s="39" t="s">
        <v>58</v>
      </c>
      <c r="G149" s="42"/>
      <c r="H149" s="47"/>
      <c r="I149" s="1"/>
      <c r="L149"/>
      <c r="M149" s="1"/>
    </row>
    <row r="150" spans="1:13">
      <c r="A150" s="25"/>
      <c r="B150" s="20" t="s">
        <v>11</v>
      </c>
      <c r="C150" s="21"/>
      <c r="D150" s="159"/>
      <c r="E150" s="6">
        <v>1</v>
      </c>
      <c r="F150" s="40" t="s">
        <v>259</v>
      </c>
      <c r="G150" s="42"/>
      <c r="H150" s="47"/>
      <c r="I150" s="1"/>
      <c r="L150"/>
      <c r="M150" s="1"/>
    </row>
    <row r="151" spans="1:13">
      <c r="A151" s="7"/>
      <c r="B151" s="44" t="s">
        <v>23</v>
      </c>
      <c r="C151" s="45"/>
      <c r="D151" s="162"/>
      <c r="E151" s="49">
        <f>IF('Pricing Worksheet'!C40,1,0)</f>
        <v>0</v>
      </c>
      <c r="F151" s="99" t="s">
        <v>65</v>
      </c>
      <c r="G151" s="42"/>
      <c r="H151" s="47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57"/>
      <c r="E152" s="6">
        <f>IF('Pricing Worksheet'!C12,1,0)</f>
        <v>0</v>
      </c>
      <c r="F152" s="40" t="s">
        <v>48</v>
      </c>
      <c r="G152" s="42"/>
      <c r="H152" s="47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57"/>
      <c r="E153" s="6">
        <f>IF('Pricing Worksheet'!C36,1,0)</f>
        <v>0</v>
      </c>
      <c r="F153" s="40" t="s">
        <v>61</v>
      </c>
      <c r="G153" s="42"/>
      <c r="H153" s="47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57"/>
      <c r="E154" s="6">
        <f>IF('Pricing Worksheet'!C13,1,0)</f>
        <v>0</v>
      </c>
      <c r="F154" s="143" t="s">
        <v>300</v>
      </c>
      <c r="G154" s="42"/>
      <c r="H154" s="47"/>
      <c r="I154" s="1"/>
      <c r="L154"/>
      <c r="M154" s="1"/>
    </row>
    <row r="155" spans="1:13" ht="30">
      <c r="A155" s="7"/>
      <c r="B155" s="11" t="s">
        <v>13</v>
      </c>
      <c r="C155" s="3"/>
      <c r="D155" s="157"/>
      <c r="E155" s="6">
        <f>IF('Pricing Worksheet'!C13,1,0)</f>
        <v>0</v>
      </c>
      <c r="F155" s="143" t="s">
        <v>327</v>
      </c>
      <c r="G155" s="42"/>
      <c r="H155" s="47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0</v>
      </c>
      <c r="F156" s="156" t="s">
        <v>301</v>
      </c>
      <c r="G156" s="42"/>
      <c r="H156" s="47"/>
      <c r="I156" s="1"/>
      <c r="L156"/>
      <c r="M156" s="1"/>
    </row>
    <row r="157" spans="1:13">
      <c r="A157" s="25"/>
      <c r="B157" s="20" t="s">
        <v>11</v>
      </c>
      <c r="C157" s="21"/>
      <c r="D157" s="159"/>
      <c r="E157" s="6">
        <v>1</v>
      </c>
      <c r="F157" s="40" t="s">
        <v>59</v>
      </c>
      <c r="G157" s="46"/>
      <c r="H157" s="47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0" t="s">
        <v>298</v>
      </c>
      <c r="G158" s="42"/>
      <c r="H158" s="47"/>
      <c r="I158" s="1"/>
      <c r="M158" s="1"/>
    </row>
    <row r="159" spans="1:13">
      <c r="A159" s="9"/>
      <c r="B159" s="11" t="s">
        <v>40</v>
      </c>
      <c r="C159" s="22"/>
      <c r="D159" s="158"/>
      <c r="E159" s="6">
        <f>IF('Pricing Worksheet'!C18,1,0)</f>
        <v>0</v>
      </c>
      <c r="F159" s="39" t="s">
        <v>258</v>
      </c>
      <c r="G159" s="42"/>
      <c r="H159" s="47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39" t="s">
        <v>302</v>
      </c>
      <c r="G160" s="42"/>
      <c r="H160" s="47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39" t="s">
        <v>257</v>
      </c>
      <c r="G161" s="42"/>
      <c r="H161" s="47"/>
      <c r="I161" s="2"/>
      <c r="J161" s="2"/>
      <c r="K161" s="2"/>
      <c r="L161" s="15"/>
      <c r="M161" s="1"/>
    </row>
    <row r="162" spans="1:13">
      <c r="A162" s="7"/>
      <c r="B162" s="11" t="s">
        <v>92</v>
      </c>
      <c r="C162" s="3"/>
      <c r="D162" s="3"/>
      <c r="E162" s="6">
        <f>IF('Pricing Worksheet'!C43,1,0)</f>
        <v>0</v>
      </c>
      <c r="F162" s="39" t="s">
        <v>130</v>
      </c>
      <c r="G162" s="42"/>
      <c r="H162" s="47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Worksheet'!C45,1,0)</f>
        <v>0</v>
      </c>
      <c r="F163" s="39" t="s">
        <v>328</v>
      </c>
      <c r="G163" s="42"/>
      <c r="H163" s="47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Worksheet'!C45,1,0)</f>
        <v>0</v>
      </c>
      <c r="F164" s="39" t="s">
        <v>256</v>
      </c>
      <c r="G164" s="42"/>
      <c r="H164" s="47"/>
      <c r="I164" s="1"/>
      <c r="M164" s="1"/>
    </row>
    <row r="165" spans="1:13">
      <c r="A165" s="25"/>
      <c r="B165" s="20" t="s">
        <v>40</v>
      </c>
      <c r="C165" s="21"/>
      <c r="D165" s="159"/>
      <c r="E165" s="6">
        <f>IF('Pricing Worksheet'!C45,1,0)</f>
        <v>0</v>
      </c>
      <c r="F165" s="151" t="s">
        <v>329</v>
      </c>
      <c r="G165" s="142"/>
      <c r="H165" s="47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39" t="s">
        <v>129</v>
      </c>
      <c r="G166" s="42"/>
      <c r="H166" s="47"/>
      <c r="I166" s="1"/>
      <c r="M166" s="1"/>
    </row>
    <row r="167" spans="1:13" ht="28">
      <c r="A167" s="48"/>
      <c r="B167" s="48"/>
      <c r="C167" s="48"/>
      <c r="D167" s="48"/>
      <c r="E167" s="48"/>
      <c r="F167" s="48"/>
      <c r="G167" s="48"/>
      <c r="H167" s="42"/>
      <c r="M167" s="1"/>
    </row>
    <row r="168" spans="1:13" ht="28">
      <c r="A168" s="48"/>
      <c r="B168" s="48"/>
      <c r="C168" s="48"/>
      <c r="D168" s="48"/>
      <c r="E168" s="48"/>
      <c r="F168" s="48"/>
      <c r="G168" s="48"/>
      <c r="H168" s="103"/>
    </row>
    <row r="169" spans="1:13" ht="28">
      <c r="A169" s="48"/>
      <c r="B169" s="48"/>
      <c r="C169" s="48"/>
      <c r="D169" s="48"/>
      <c r="E169" s="48"/>
      <c r="F169" s="48"/>
      <c r="G169" s="48"/>
    </row>
    <row r="170" spans="1:13" ht="39" customHeight="1">
      <c r="A170" s="104" t="s">
        <v>98</v>
      </c>
      <c r="B170" s="51"/>
      <c r="C170" s="51"/>
      <c r="D170" s="51"/>
      <c r="E170" s="51"/>
      <c r="F170" s="51"/>
      <c r="G170" s="51"/>
      <c r="H170" s="103"/>
    </row>
    <row r="171" spans="1:13" ht="27" customHeight="1">
      <c r="A171" s="48"/>
      <c r="B171" s="48"/>
      <c r="C171" s="48"/>
      <c r="D171" s="48"/>
      <c r="E171" s="48"/>
      <c r="F171" s="48"/>
      <c r="G171" s="48"/>
    </row>
    <row r="172" spans="1:13" ht="47" customHeight="1">
      <c r="A172" s="366" t="s">
        <v>99</v>
      </c>
      <c r="B172" s="366"/>
      <c r="C172" s="366"/>
      <c r="D172" s="366"/>
      <c r="E172" s="366"/>
      <c r="F172" s="366"/>
      <c r="G172" s="366"/>
      <c r="H172" s="103"/>
    </row>
    <row r="173" spans="1:13" ht="47" customHeight="1">
      <c r="A173" s="52"/>
      <c r="B173" s="52"/>
      <c r="C173" s="52"/>
      <c r="D173" s="52"/>
      <c r="E173" s="52"/>
      <c r="F173" s="52"/>
      <c r="G173" s="52"/>
    </row>
    <row r="174" spans="1:13" ht="67" customHeight="1" thickBot="1">
      <c r="A174" s="144" t="s">
        <v>86</v>
      </c>
      <c r="B174" s="145"/>
      <c r="C174" s="146"/>
      <c r="D174" s="147"/>
      <c r="E174" s="148"/>
      <c r="F174" s="149" t="s">
        <v>102</v>
      </c>
      <c r="G174" s="31"/>
      <c r="H174" s="103"/>
    </row>
    <row r="175" spans="1:13" ht="35" customHeight="1">
      <c r="A175" s="355" t="s">
        <v>330</v>
      </c>
      <c r="B175" s="356"/>
      <c r="C175" s="356"/>
      <c r="D175" s="356"/>
      <c r="E175" s="357"/>
      <c r="F175" s="149"/>
      <c r="G175" s="31"/>
    </row>
    <row r="176" spans="1:13" ht="30">
      <c r="A176" s="358"/>
      <c r="B176" s="359"/>
      <c r="C176" s="359"/>
      <c r="D176" s="359"/>
      <c r="E176" s="360"/>
      <c r="F176" s="149"/>
      <c r="G176" s="31"/>
    </row>
    <row r="177" spans="1:13" ht="31" thickBot="1">
      <c r="A177" s="361"/>
      <c r="B177" s="362"/>
      <c r="C177" s="362"/>
      <c r="D177" s="362"/>
      <c r="E177" s="363"/>
      <c r="F177" s="149"/>
      <c r="G177" s="31"/>
    </row>
    <row r="178" spans="1:13">
      <c r="A178" s="150"/>
      <c r="B178" s="150"/>
      <c r="C178" s="150"/>
      <c r="D178" s="150"/>
      <c r="E178" s="150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181"/>
      <c r="B1" s="419" t="str">
        <f>'Pricing Worksheet'!F2</f>
        <v>Minimalist</v>
      </c>
      <c r="C1" s="419"/>
      <c r="D1" s="419"/>
      <c r="E1" s="419"/>
      <c r="F1" s="419"/>
      <c r="G1" s="420"/>
      <c r="H1" s="440">
        <f>'Pricing Worksheet'!I6</f>
        <v>0</v>
      </c>
      <c r="I1" s="441"/>
      <c r="J1" s="441"/>
      <c r="K1" s="441"/>
      <c r="L1" s="182" t="s">
        <v>307</v>
      </c>
      <c r="M1" s="166"/>
      <c r="N1" s="166"/>
      <c r="O1" s="441">
        <f>'Build Sheet'!G2</f>
        <v>0</v>
      </c>
      <c r="P1" s="441"/>
      <c r="Q1" s="203" t="s">
        <v>306</v>
      </c>
      <c r="R1" s="166"/>
      <c r="S1" s="166"/>
      <c r="T1" s="166"/>
      <c r="U1" s="166"/>
      <c r="V1" s="166"/>
      <c r="W1" s="166"/>
      <c r="X1" s="166"/>
      <c r="Y1" s="166"/>
      <c r="Z1" s="183"/>
    </row>
    <row r="2" spans="1:26" s="5" customFormat="1" ht="43" customHeight="1" thickBot="1">
      <c r="A2" s="184"/>
      <c r="B2" s="421"/>
      <c r="C2" s="421"/>
      <c r="D2" s="421"/>
      <c r="E2" s="421"/>
      <c r="F2" s="421"/>
      <c r="G2" s="422"/>
      <c r="H2" s="445" t="s">
        <v>211</v>
      </c>
      <c r="I2" s="446"/>
      <c r="J2" s="436" t="s">
        <v>215</v>
      </c>
      <c r="K2" s="436"/>
      <c r="L2" s="431" t="s">
        <v>276</v>
      </c>
      <c r="M2" s="431"/>
      <c r="N2" s="432" t="s">
        <v>277</v>
      </c>
      <c r="O2" s="433"/>
      <c r="P2" s="434" t="s">
        <v>235</v>
      </c>
      <c r="Q2" s="434"/>
      <c r="R2" s="435" t="s">
        <v>241</v>
      </c>
      <c r="S2" s="435"/>
      <c r="T2" s="443" t="s">
        <v>278</v>
      </c>
      <c r="U2" s="443"/>
      <c r="V2" s="444" t="s">
        <v>279</v>
      </c>
      <c r="W2" s="444"/>
      <c r="X2" s="442" t="s">
        <v>280</v>
      </c>
      <c r="Y2" s="442"/>
      <c r="Z2" s="185"/>
    </row>
    <row r="3" spans="1:26" ht="113" customHeight="1" thickBot="1">
      <c r="A3" s="186" t="s">
        <v>23</v>
      </c>
      <c r="B3" s="192">
        <f>IF('Pricing Worksheet'!C39,1,0)</f>
        <v>0</v>
      </c>
      <c r="C3" s="450" t="str">
        <f>IF(B3=1,"Aluminum","")</f>
        <v/>
      </c>
      <c r="D3" s="451"/>
      <c r="E3" s="451"/>
      <c r="F3" s="451"/>
      <c r="G3" s="452"/>
      <c r="H3" s="196">
        <f>IF('Pricing Worksheet'!C26,1,0)</f>
        <v>0</v>
      </c>
      <c r="I3" s="425" t="str">
        <f>IF(H3=1,"Mood Lighting","")</f>
        <v/>
      </c>
      <c r="J3" s="426"/>
      <c r="K3" s="426"/>
      <c r="L3" s="426"/>
      <c r="M3" s="427"/>
      <c r="N3" s="194">
        <f>IF('Pricing Worksheet'!C35,1,0)</f>
        <v>0</v>
      </c>
      <c r="O3" s="439" t="str">
        <f>IF(N3=1,"AC","")</f>
        <v/>
      </c>
      <c r="P3" s="439"/>
      <c r="Q3" s="439"/>
      <c r="R3" s="439"/>
      <c r="S3" s="439"/>
      <c r="T3" s="192">
        <f>IF('Pricing Worksheet'!C48,1,0)</f>
        <v>1</v>
      </c>
      <c r="U3" s="428" t="str">
        <f>IF(T3=1,"Tongue Box","")</f>
        <v>Tongue Box</v>
      </c>
      <c r="V3" s="429"/>
      <c r="W3" s="429"/>
      <c r="X3" s="429"/>
      <c r="Y3" s="430"/>
      <c r="Z3" s="187"/>
    </row>
    <row r="4" spans="1:26" ht="113" customHeight="1" thickBot="1">
      <c r="A4" s="186"/>
      <c r="B4" s="186">
        <f>IF('Pricing Worksheet'!C40,1,0)</f>
        <v>0</v>
      </c>
      <c r="C4" s="402" t="str">
        <f>IF(B4=1,"E-Brakes","")</f>
        <v/>
      </c>
      <c r="D4" s="403"/>
      <c r="E4" s="403"/>
      <c r="F4" s="403"/>
      <c r="G4" s="404"/>
      <c r="H4" s="197">
        <f>IF('Pricing Worksheet'!C36,1,0)</f>
        <v>0</v>
      </c>
      <c r="I4" s="402" t="str">
        <f>IF(H4=1,"Furnace","")</f>
        <v/>
      </c>
      <c r="J4" s="403"/>
      <c r="K4" s="403"/>
      <c r="L4" s="403"/>
      <c r="M4" s="404"/>
      <c r="N4" s="195">
        <f>IF('Pricing Worksheet'!C27,1,0)</f>
        <v>0</v>
      </c>
      <c r="O4" s="423" t="str">
        <f>IF(N4=1,"Overhead Light","")</f>
        <v/>
      </c>
      <c r="P4" s="423"/>
      <c r="Q4" s="423"/>
      <c r="R4" s="423"/>
      <c r="S4" s="423"/>
      <c r="T4" s="186">
        <f>IF('Pricing Worksheet'!C54,1,0)</f>
        <v>1</v>
      </c>
      <c r="U4" s="402" t="str">
        <f>IF(T4=1,"Starter Kit","")</f>
        <v>Starter Kit</v>
      </c>
      <c r="V4" s="403"/>
      <c r="W4" s="403"/>
      <c r="X4" s="403"/>
      <c r="Y4" s="404"/>
      <c r="Z4" s="187"/>
    </row>
    <row r="5" spans="1:26" ht="113" customHeight="1" thickBot="1">
      <c r="A5" s="188"/>
      <c r="B5" s="186">
        <f>IF('Pricing Worksheet'!C13,1,0)</f>
        <v>0</v>
      </c>
      <c r="C5" s="402" t="str">
        <f>IF(B5=1,"Propane","")</f>
        <v/>
      </c>
      <c r="D5" s="403"/>
      <c r="E5" s="403"/>
      <c r="F5" s="403"/>
      <c r="G5" s="404"/>
      <c r="H5" s="197">
        <f>IF('Pricing Worksheet'!C20,1,0)</f>
        <v>0</v>
      </c>
      <c r="I5" s="402" t="str">
        <f>IF(H5=1,"Galley Light","")</f>
        <v/>
      </c>
      <c r="J5" s="403"/>
      <c r="K5" s="403"/>
      <c r="L5" s="403"/>
      <c r="M5" s="404"/>
      <c r="N5" s="195">
        <f>IF('Pricing Worksheet'!C29,1,0)</f>
        <v>0</v>
      </c>
      <c r="O5" s="424" t="str">
        <f>IF(N5=1,"Blackout Shade","")</f>
        <v/>
      </c>
      <c r="P5" s="424"/>
      <c r="Q5" s="424"/>
      <c r="R5" s="424"/>
      <c r="S5" s="424"/>
      <c r="T5" s="186">
        <f>IF('Pricing Worksheet'!C44,1,0)</f>
        <v>0</v>
      </c>
      <c r="U5" s="402" t="str">
        <f>IF(T5=1,"Zamp Solar","")</f>
        <v/>
      </c>
      <c r="V5" s="403"/>
      <c r="W5" s="403"/>
      <c r="X5" s="403"/>
      <c r="Y5" s="404"/>
      <c r="Z5" s="187"/>
    </row>
    <row r="6" spans="1:26" ht="113" customHeight="1" thickBot="1">
      <c r="A6" s="188" t="s">
        <v>21</v>
      </c>
      <c r="B6" s="186">
        <f>IF('Pricing Worksheet'!C12,1,0)</f>
        <v>0</v>
      </c>
      <c r="C6" s="402" t="str">
        <f>IF(B6=1,"Stovetop","")</f>
        <v/>
      </c>
      <c r="D6" s="403"/>
      <c r="E6" s="403"/>
      <c r="F6" s="403"/>
      <c r="G6" s="404"/>
      <c r="H6" s="197">
        <f>IF('Pricing Worksheet'!C25,1,0)</f>
        <v>0</v>
      </c>
      <c r="I6" s="402" t="str">
        <f>IF(H6=1,"Stargazer","")</f>
        <v/>
      </c>
      <c r="J6" s="403"/>
      <c r="K6" s="403"/>
      <c r="L6" s="403"/>
      <c r="M6" s="404"/>
      <c r="N6" s="195">
        <f>IF('Pricing Worksheet'!C30,1,0)</f>
        <v>0</v>
      </c>
      <c r="O6" s="415" t="str">
        <f>IF(N6=1,"Froli","")</f>
        <v/>
      </c>
      <c r="P6" s="415"/>
      <c r="Q6" s="415"/>
      <c r="R6" s="415"/>
      <c r="S6" s="415"/>
      <c r="T6" s="186">
        <f>IF('Pricing Worksheet'!C55,1,0)</f>
        <v>0</v>
      </c>
      <c r="U6" s="402" t="str">
        <f>IF(T6=1,"Vb Cover","")</f>
        <v/>
      </c>
      <c r="V6" s="403"/>
      <c r="W6" s="403"/>
      <c r="X6" s="403"/>
      <c r="Y6" s="404"/>
      <c r="Z6" s="187"/>
    </row>
    <row r="7" spans="1:26" ht="113" customHeight="1" thickBot="1">
      <c r="A7" s="186" t="s">
        <v>13</v>
      </c>
      <c r="B7" s="186">
        <f>IF('Pricing Worksheet'!C14,1,0)</f>
        <v>0</v>
      </c>
      <c r="C7" s="402" t="str">
        <f>IF(B7=1,"Fresh Water","")</f>
        <v/>
      </c>
      <c r="D7" s="403"/>
      <c r="E7" s="403"/>
      <c r="F7" s="403"/>
      <c r="G7" s="404"/>
      <c r="H7" s="197">
        <f>IF('Pricing Worksheet'!C28,1,0)</f>
        <v>1</v>
      </c>
      <c r="I7" s="402" t="str">
        <f>IF(H7=1,"Front Bin","")</f>
        <v>Front Bin</v>
      </c>
      <c r="J7" s="403"/>
      <c r="K7" s="403"/>
      <c r="L7" s="403"/>
      <c r="M7" s="404"/>
      <c r="N7" s="195">
        <f>IF('Pricing Worksheet'!C31,1,0)</f>
        <v>0</v>
      </c>
      <c r="O7" s="401" t="str">
        <f>IF(N7=1,"Split Bed","")</f>
        <v/>
      </c>
      <c r="P7" s="401"/>
      <c r="Q7" s="401"/>
      <c r="R7" s="401"/>
      <c r="S7" s="401"/>
      <c r="T7" s="186">
        <f>IF('Pricing Worksheet'!C57,1,0)</f>
        <v>0</v>
      </c>
      <c r="U7" s="402" t="str">
        <f>IF(T7=1,"H2O Filler","")</f>
        <v/>
      </c>
      <c r="V7" s="403"/>
      <c r="W7" s="403"/>
      <c r="X7" s="403"/>
      <c r="Y7" s="404"/>
      <c r="Z7" s="187"/>
    </row>
    <row r="8" spans="1:26" ht="113" customHeight="1" thickBot="1">
      <c r="A8" s="186"/>
      <c r="B8" s="186">
        <f>IF('Pricing Worksheet'!C15,1,0)</f>
        <v>0</v>
      </c>
      <c r="C8" s="402" t="str">
        <f>IF(B8=1,"Gray Water","")</f>
        <v/>
      </c>
      <c r="D8" s="403"/>
      <c r="E8" s="403"/>
      <c r="F8" s="403"/>
      <c r="G8" s="404"/>
      <c r="H8" s="197">
        <f>IF('Pricing Worksheet'!C38,1,0)</f>
        <v>0</v>
      </c>
      <c r="I8" s="412" t="str">
        <f>IF(H8=1,CONCATENATE("Skin - ",'Pricing Worksheet'!I38),"")</f>
        <v/>
      </c>
      <c r="J8" s="413"/>
      <c r="K8" s="413"/>
      <c r="L8" s="413"/>
      <c r="M8" s="414"/>
      <c r="N8" s="195">
        <f>IF('Pricing Worksheet'!C19,1,0)</f>
        <v>1</v>
      </c>
      <c r="O8" s="408" t="str">
        <f>IF(N8=1,CONCATENATE("Bat Wings - ",'Pricing Worksheet'!I19),"")</f>
        <v>Bat Wings - CHOOSE COLOR</v>
      </c>
      <c r="P8" s="408"/>
      <c r="Q8" s="408"/>
      <c r="R8" s="408"/>
      <c r="S8" s="408"/>
      <c r="T8" s="186">
        <f>IF('Pricing Worksheet'!C58,1,0)</f>
        <v>0</v>
      </c>
      <c r="U8" s="402" t="str">
        <f>IF(T8=1,"Water Filter","")</f>
        <v/>
      </c>
      <c r="V8" s="403"/>
      <c r="W8" s="403"/>
      <c r="X8" s="403"/>
      <c r="Y8" s="404"/>
      <c r="Z8" s="187"/>
    </row>
    <row r="9" spans="1:26" ht="113" customHeight="1" thickBot="1">
      <c r="A9" s="186" t="s">
        <v>14</v>
      </c>
      <c r="B9" s="193">
        <f>IF('Pricing Worksheet'!C41,1,0)</f>
        <v>0</v>
      </c>
      <c r="C9" s="409" t="str">
        <f>IF(B9=1,"Ark Upgrade","")</f>
        <v/>
      </c>
      <c r="D9" s="410"/>
      <c r="E9" s="410"/>
      <c r="F9" s="410"/>
      <c r="G9" s="411"/>
      <c r="H9" s="197">
        <f>IF('Pricing Worksheet'!C45,1,0)</f>
        <v>0</v>
      </c>
      <c r="I9" s="447" t="str">
        <f>IF(H9=1,"Rooftop Solar","")</f>
        <v/>
      </c>
      <c r="J9" s="448"/>
      <c r="K9" s="448"/>
      <c r="L9" s="448"/>
      <c r="M9" s="449"/>
      <c r="N9" s="195">
        <f>IF('Pricing Worksheet'!C21,1,0)</f>
        <v>0</v>
      </c>
      <c r="O9" s="401" t="str">
        <f>IF(N9=1,"Hatch Bag","")</f>
        <v/>
      </c>
      <c r="P9" s="401"/>
      <c r="Q9" s="401"/>
      <c r="R9" s="401"/>
      <c r="S9" s="401"/>
      <c r="T9" s="186">
        <f>IF('Pricing Worksheet'!C59,1,0)</f>
        <v>0</v>
      </c>
      <c r="U9" s="402" t="str">
        <f>IF(T9=1,"Pressure Reg","")</f>
        <v/>
      </c>
      <c r="V9" s="403"/>
      <c r="W9" s="403"/>
      <c r="X9" s="403"/>
      <c r="Y9" s="404"/>
      <c r="Z9" s="187"/>
    </row>
    <row r="10" spans="1:26" ht="113" customHeight="1" thickBot="1">
      <c r="A10" s="186" t="s">
        <v>18</v>
      </c>
      <c r="B10" s="186">
        <f>IF('Pricing Worksheet'!C43,1,0)</f>
        <v>0</v>
      </c>
      <c r="C10" s="402" t="str">
        <f>IF(B10=1,"Lithium","")</f>
        <v/>
      </c>
      <c r="D10" s="403"/>
      <c r="E10" s="403"/>
      <c r="F10" s="403"/>
      <c r="G10" s="404"/>
      <c r="H10" s="197">
        <f>IF('Pricing Worksheet'!C16,1,0)</f>
        <v>0</v>
      </c>
      <c r="I10" s="402" t="str">
        <f>IF(H10=1,"6 Drawer","")</f>
        <v/>
      </c>
      <c r="J10" s="403"/>
      <c r="K10" s="403"/>
      <c r="L10" s="403"/>
      <c r="M10" s="404"/>
      <c r="N10" s="195">
        <f>IF('Pricing Worksheet'!C42,1,0)</f>
        <v>0</v>
      </c>
      <c r="O10" s="401" t="str">
        <f>IF(N10=1,"3M","")</f>
        <v/>
      </c>
      <c r="P10" s="401"/>
      <c r="Q10" s="401"/>
      <c r="R10" s="401"/>
      <c r="S10" s="401"/>
      <c r="T10" s="186">
        <f>IF('Pricing Worksheet'!C63,1,0)</f>
        <v>0</v>
      </c>
      <c r="U10" s="402" t="s">
        <v>260</v>
      </c>
      <c r="V10" s="437"/>
      <c r="W10" s="437"/>
      <c r="X10" s="437"/>
      <c r="Y10" s="438"/>
      <c r="Z10" s="187"/>
    </row>
    <row r="11" spans="1:26" ht="113" customHeight="1" thickBot="1">
      <c r="A11" s="189"/>
      <c r="B11" s="186">
        <f>IF('Pricing Worksheet'!C40,1,0)</f>
        <v>0</v>
      </c>
      <c r="C11" s="402" t="str">
        <f>IF(B11=1,"Autowbrake","")</f>
        <v/>
      </c>
      <c r="D11" s="403"/>
      <c r="E11" s="403"/>
      <c r="F11" s="403"/>
      <c r="G11" s="404"/>
      <c r="H11" s="197">
        <f>IF('Pricing Worksheet'!C17,1,0)</f>
        <v>1</v>
      </c>
      <c r="I11" s="402" t="str">
        <f>IF(H11=1,"Pull and ROC","")</f>
        <v>Pull and ROC</v>
      </c>
      <c r="J11" s="403"/>
      <c r="K11" s="403"/>
      <c r="L11" s="403"/>
      <c r="M11" s="404"/>
      <c r="N11" s="195">
        <f>IF('Pricing Worksheet'!C47,1,0)</f>
        <v>0</v>
      </c>
      <c r="O11" s="408" t="str">
        <f>IF(N11=1,CONCATENATE("Awning/",'Pricing Worksheet'!I47),"")</f>
        <v/>
      </c>
      <c r="P11" s="408"/>
      <c r="Q11" s="408"/>
      <c r="R11" s="408"/>
      <c r="S11" s="408"/>
      <c r="T11" s="186">
        <v>1</v>
      </c>
      <c r="U11" s="405"/>
      <c r="V11" s="406"/>
      <c r="W11" s="406"/>
      <c r="X11" s="406"/>
      <c r="Y11" s="407"/>
      <c r="Z11" s="187"/>
    </row>
    <row r="12" spans="1:26" ht="113" customHeight="1" thickBot="1">
      <c r="A12" s="190"/>
      <c r="B12" s="188">
        <f>IF('Pricing Worksheet'!C46,1,0)</f>
        <v>0</v>
      </c>
      <c r="C12" s="395" t="str">
        <f>IF(B12,"DC-DC Charger","")</f>
        <v/>
      </c>
      <c r="D12" s="396"/>
      <c r="E12" s="396"/>
      <c r="F12" s="396"/>
      <c r="G12" s="397"/>
      <c r="H12" s="205">
        <f>IF('Pricing Worksheet'!C18,1,0)</f>
        <v>0</v>
      </c>
      <c r="I12" s="398" t="str">
        <f>IF(H12=1,"Cooler","")</f>
        <v/>
      </c>
      <c r="J12" s="399"/>
      <c r="K12" s="399"/>
      <c r="L12" s="399"/>
      <c r="M12" s="400"/>
      <c r="N12" s="198">
        <f>IF('Pricing Worksheet'!C49,1,0)</f>
        <v>0</v>
      </c>
      <c r="O12" s="401" t="str">
        <f>IF(N12=1,"Bike Rack","")</f>
        <v/>
      </c>
      <c r="P12" s="401"/>
      <c r="Q12" s="401"/>
      <c r="R12" s="401"/>
      <c r="S12" s="401"/>
      <c r="T12" s="188">
        <v>1</v>
      </c>
      <c r="U12" s="416"/>
      <c r="V12" s="417"/>
      <c r="W12" s="417"/>
      <c r="X12" s="417"/>
      <c r="Y12" s="418"/>
      <c r="Z12" s="191"/>
    </row>
    <row r="13" spans="1:26">
      <c r="H13" s="2"/>
      <c r="L13" s="1"/>
      <c r="T13" s="2"/>
    </row>
    <row r="14" spans="1:26" ht="100" customHeight="1">
      <c r="A14" s="63"/>
      <c r="H14" s="2"/>
      <c r="L14" s="1"/>
    </row>
    <row r="15" spans="1:26" ht="100" customHeight="1">
      <c r="A15" s="90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89"/>
    </row>
    <row r="22" spans="1:12" ht="100" customHeight="1">
      <c r="A22" s="89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50"/>
      <c r="B1" s="225" t="s">
        <v>460</v>
      </c>
      <c r="C1" s="251"/>
      <c r="D1" s="225"/>
      <c r="E1" s="251"/>
      <c r="F1" s="225"/>
      <c r="G1" s="250"/>
      <c r="H1" s="250"/>
    </row>
    <row r="2" spans="1:10" ht="34">
      <c r="A2" s="248"/>
      <c r="B2" s="249" t="str">
        <f>'Pricing Worksheet'!F2</f>
        <v>Minimalist</v>
      </c>
      <c r="C2" s="252" t="s">
        <v>375</v>
      </c>
      <c r="D2" s="222">
        <f>'Build Sheet'!G2</f>
        <v>0</v>
      </c>
      <c r="E2" s="222">
        <f>'Pricing Worksheet'!I6</f>
        <v>0</v>
      </c>
      <c r="F2" s="222"/>
      <c r="G2" s="248"/>
      <c r="H2" s="247" t="s">
        <v>459</v>
      </c>
    </row>
    <row r="3" spans="1:10" ht="36" customHeight="1">
      <c r="A3" s="208"/>
      <c r="B3" s="219" t="s">
        <v>391</v>
      </c>
      <c r="C3" s="219" t="s">
        <v>390</v>
      </c>
      <c r="D3" s="219" t="s">
        <v>389</v>
      </c>
      <c r="E3" s="219" t="s">
        <v>388</v>
      </c>
      <c r="F3" s="219" t="s">
        <v>387</v>
      </c>
      <c r="G3" s="219" t="s">
        <v>386</v>
      </c>
      <c r="H3" s="219" t="s">
        <v>385</v>
      </c>
    </row>
    <row r="4" spans="1:10" ht="26" customHeight="1">
      <c r="A4" s="231" t="s">
        <v>407</v>
      </c>
      <c r="B4" s="246" t="s">
        <v>458</v>
      </c>
      <c r="C4" s="210">
        <v>1</v>
      </c>
      <c r="D4" s="210"/>
      <c r="E4" s="211"/>
      <c r="F4" s="210"/>
      <c r="G4" s="210"/>
      <c r="H4" s="214"/>
    </row>
    <row r="5" spans="1:10" ht="26" customHeight="1">
      <c r="A5" s="231" t="s">
        <v>407</v>
      </c>
      <c r="B5" s="212" t="s">
        <v>456</v>
      </c>
      <c r="C5" s="210" t="s">
        <v>401</v>
      </c>
      <c r="D5" s="210"/>
      <c r="E5" s="211">
        <f>E4</f>
        <v>0</v>
      </c>
      <c r="F5" s="210"/>
      <c r="G5" s="210"/>
      <c r="H5" s="210"/>
    </row>
    <row r="6" spans="1:10" ht="26" customHeight="1">
      <c r="A6" s="230" t="s">
        <v>378</v>
      </c>
      <c r="B6" s="212" t="s">
        <v>455</v>
      </c>
      <c r="C6" s="210" t="s">
        <v>401</v>
      </c>
      <c r="D6" s="214"/>
      <c r="E6" s="211">
        <f>E4</f>
        <v>0</v>
      </c>
      <c r="F6" s="214"/>
      <c r="G6" s="210"/>
      <c r="H6" s="210" t="str">
        <f>'Pricing Worksheet'!I38</f>
        <v>CHOOSE COLOR</v>
      </c>
    </row>
    <row r="7" spans="1:10" ht="25" customHeight="1">
      <c r="A7" s="230" t="s">
        <v>378</v>
      </c>
      <c r="B7" s="212" t="s">
        <v>454</v>
      </c>
      <c r="C7" s="210">
        <v>1</v>
      </c>
      <c r="D7" s="210"/>
      <c r="E7" s="211">
        <f>E4</f>
        <v>0</v>
      </c>
      <c r="F7" s="210"/>
      <c r="G7" s="210"/>
      <c r="H7" s="210" t="str">
        <f>'Pricing Worksheet'!I38</f>
        <v>CHOOSE COLOR</v>
      </c>
      <c r="I7">
        <f>IF('Pricing Worksheet'!C42,"Yes",0)</f>
        <v>0</v>
      </c>
      <c r="J7" t="s">
        <v>453</v>
      </c>
    </row>
    <row r="8" spans="1:10" ht="26" customHeight="1">
      <c r="A8" s="229" t="s">
        <v>403</v>
      </c>
      <c r="B8" s="212" t="s">
        <v>452</v>
      </c>
      <c r="C8" s="210" t="s">
        <v>401</v>
      </c>
      <c r="D8" s="214"/>
      <c r="E8" s="211">
        <f>E4</f>
        <v>0</v>
      </c>
      <c r="F8" s="214"/>
      <c r="G8" s="210"/>
      <c r="H8" s="210">
        <f>IF('Pricing Worksheet'!C45,"Yes",0)</f>
        <v>0</v>
      </c>
    </row>
    <row r="9" spans="1:10" ht="92" customHeight="1">
      <c r="A9" s="221"/>
      <c r="B9" s="208"/>
      <c r="C9" s="206"/>
      <c r="D9" s="206"/>
      <c r="E9" s="206"/>
      <c r="F9" s="206"/>
      <c r="G9" s="206"/>
      <c r="H9" s="206"/>
    </row>
    <row r="10" spans="1:10" ht="34">
      <c r="A10" s="221"/>
      <c r="B10" s="225" t="s">
        <v>447</v>
      </c>
      <c r="C10" s="224"/>
      <c r="D10" s="224"/>
      <c r="E10" s="224"/>
      <c r="F10" s="224"/>
      <c r="G10" s="224"/>
      <c r="H10" s="221"/>
    </row>
    <row r="11" spans="1:10" ht="37">
      <c r="A11" s="221"/>
      <c r="B11" s="223" t="str">
        <f>'Pricing Worksheet'!F2</f>
        <v>Minimalist</v>
      </c>
      <c r="C11" s="252" t="s">
        <v>375</v>
      </c>
      <c r="D11" s="222">
        <f>'Build Sheet'!G2</f>
        <v>0</v>
      </c>
      <c r="E11" s="222">
        <f>'Pricing Worksheet'!I6</f>
        <v>0</v>
      </c>
      <c r="F11" s="222"/>
      <c r="G11" s="221"/>
      <c r="H11" s="221" t="s">
        <v>446</v>
      </c>
    </row>
    <row r="12" spans="1:10" ht="34">
      <c r="A12" s="221"/>
      <c r="B12" s="220" t="s">
        <v>391</v>
      </c>
      <c r="C12" s="219" t="s">
        <v>390</v>
      </c>
      <c r="D12" s="219" t="s">
        <v>389</v>
      </c>
      <c r="E12" s="219" t="s">
        <v>388</v>
      </c>
      <c r="F12" s="219" t="s">
        <v>387</v>
      </c>
      <c r="G12" s="219" t="s">
        <v>386</v>
      </c>
      <c r="H12" s="219" t="s">
        <v>385</v>
      </c>
    </row>
    <row r="13" spans="1:10" ht="25" customHeight="1">
      <c r="A13" s="238" t="s">
        <v>382</v>
      </c>
      <c r="B13" s="244" t="s">
        <v>445</v>
      </c>
      <c r="C13" s="210">
        <v>1</v>
      </c>
      <c r="D13" s="210"/>
      <c r="E13" s="211">
        <f>E4</f>
        <v>0</v>
      </c>
      <c r="F13" s="210"/>
      <c r="G13" s="210"/>
      <c r="H13" s="214"/>
    </row>
    <row r="14" spans="1:10" ht="26" customHeight="1">
      <c r="A14" s="217" t="s">
        <v>382</v>
      </c>
      <c r="B14" s="212" t="s">
        <v>444</v>
      </c>
      <c r="C14" s="210">
        <v>1</v>
      </c>
      <c r="D14" s="210"/>
      <c r="E14" s="211">
        <f>E4</f>
        <v>0</v>
      </c>
      <c r="F14" s="210"/>
      <c r="G14" s="210"/>
      <c r="H14" s="214"/>
    </row>
    <row r="15" spans="1:10" ht="26" customHeight="1">
      <c r="A15" s="231" t="s">
        <v>407</v>
      </c>
      <c r="B15" s="212" t="s">
        <v>443</v>
      </c>
      <c r="C15" s="210">
        <v>1</v>
      </c>
      <c r="D15" s="210"/>
      <c r="E15" s="211">
        <f>E4</f>
        <v>0</v>
      </c>
      <c r="F15" s="210"/>
      <c r="G15" s="210"/>
      <c r="H15" s="214"/>
    </row>
    <row r="16" spans="1:10" ht="26" customHeight="1">
      <c r="A16" s="231" t="s">
        <v>407</v>
      </c>
      <c r="B16" s="212" t="s">
        <v>442</v>
      </c>
      <c r="C16" s="210" t="s">
        <v>401</v>
      </c>
      <c r="D16" s="210"/>
      <c r="E16" s="211">
        <f>E4</f>
        <v>0</v>
      </c>
      <c r="F16" s="210"/>
      <c r="G16" s="210"/>
      <c r="H16" s="210">
        <f>IF('Pricing Worksheet'!C25,"Yes Stargazer",0)</f>
        <v>0</v>
      </c>
    </row>
    <row r="17" spans="1:10" ht="26" customHeight="1">
      <c r="A17" s="231" t="s">
        <v>407</v>
      </c>
      <c r="B17" s="212" t="s">
        <v>441</v>
      </c>
      <c r="C17" s="210">
        <v>2</v>
      </c>
      <c r="D17" s="210"/>
      <c r="E17" s="211">
        <f>E4</f>
        <v>0</v>
      </c>
      <c r="F17" s="210"/>
      <c r="G17" s="210"/>
      <c r="H17" s="210"/>
    </row>
    <row r="18" spans="1:10" ht="25" customHeight="1">
      <c r="A18" s="237" t="s">
        <v>407</v>
      </c>
      <c r="B18" s="235" t="s">
        <v>431</v>
      </c>
      <c r="C18" s="210" t="s">
        <v>401</v>
      </c>
      <c r="D18" s="219"/>
      <c r="E18" s="211">
        <f>E4</f>
        <v>0</v>
      </c>
      <c r="F18" s="219"/>
      <c r="G18" s="212"/>
      <c r="H18" s="219"/>
    </row>
    <row r="19" spans="1:10" ht="26" customHeight="1">
      <c r="A19" s="236" t="s">
        <v>407</v>
      </c>
      <c r="B19" s="235" t="s">
        <v>430</v>
      </c>
      <c r="C19" s="210">
        <v>1</v>
      </c>
      <c r="D19" s="219"/>
      <c r="E19" s="211">
        <f>E4</f>
        <v>0</v>
      </c>
      <c r="F19" s="219"/>
      <c r="G19" s="212"/>
      <c r="H19" s="219"/>
    </row>
    <row r="20" spans="1:10" ht="26" customHeight="1">
      <c r="A20" s="227" t="s">
        <v>15</v>
      </c>
      <c r="B20" s="212" t="s">
        <v>439</v>
      </c>
      <c r="C20" s="210" t="s">
        <v>438</v>
      </c>
      <c r="D20" s="214"/>
      <c r="E20" s="211">
        <f>E4</f>
        <v>0</v>
      </c>
      <c r="F20" s="214"/>
      <c r="G20" s="210"/>
      <c r="H20" s="210"/>
    </row>
    <row r="21" spans="1:10" ht="26" customHeight="1">
      <c r="A21" s="243" t="s">
        <v>15</v>
      </c>
      <c r="B21" s="212" t="s">
        <v>437</v>
      </c>
      <c r="C21" s="210">
        <v>1</v>
      </c>
      <c r="D21" s="214"/>
      <c r="E21" s="211">
        <f>E4</f>
        <v>0</v>
      </c>
      <c r="F21" s="214"/>
      <c r="G21" s="210"/>
      <c r="H21" s="210" t="str">
        <f>IF('Pricing Worksheet'!C17,"Yes",0)</f>
        <v>Yes</v>
      </c>
      <c r="I21">
        <f>IF('Pricing Worksheet'!C16,"Yes",0)</f>
        <v>0</v>
      </c>
      <c r="J21" t="s">
        <v>436</v>
      </c>
    </row>
    <row r="22" spans="1:10" ht="100" customHeight="1">
      <c r="A22" s="221"/>
      <c r="B22" s="208"/>
      <c r="C22" s="206"/>
      <c r="D22" s="242"/>
      <c r="E22" s="206"/>
      <c r="F22" s="242"/>
      <c r="G22" s="206"/>
      <c r="H22" s="206"/>
    </row>
    <row r="23" spans="1:10" ht="34">
      <c r="A23" s="221"/>
      <c r="B23" s="225" t="s">
        <v>435</v>
      </c>
      <c r="C23" s="224"/>
      <c r="D23" s="241"/>
      <c r="E23" s="224"/>
      <c r="F23" s="241"/>
      <c r="G23" s="224"/>
      <c r="H23" s="221"/>
    </row>
    <row r="24" spans="1:10" ht="37">
      <c r="A24" s="221"/>
      <c r="B24" s="223" t="str">
        <f>'Pricing Worksheet'!F2</f>
        <v>Minimalist</v>
      </c>
      <c r="C24" s="252" t="s">
        <v>375</v>
      </c>
      <c r="D24" s="222">
        <f>'Build Sheet'!G2</f>
        <v>0</v>
      </c>
      <c r="E24" s="222">
        <f>'Pricing Worksheet'!I6</f>
        <v>0</v>
      </c>
      <c r="F24" s="222"/>
      <c r="G24" s="221"/>
      <c r="H24" s="221" t="s">
        <v>466</v>
      </c>
    </row>
    <row r="25" spans="1:10" ht="34">
      <c r="A25" s="221"/>
      <c r="B25" s="220" t="s">
        <v>391</v>
      </c>
      <c r="C25" s="219" t="s">
        <v>390</v>
      </c>
      <c r="D25" s="219" t="s">
        <v>389</v>
      </c>
      <c r="E25" s="219" t="s">
        <v>388</v>
      </c>
      <c r="F25" s="219" t="s">
        <v>387</v>
      </c>
      <c r="G25" s="219" t="s">
        <v>386</v>
      </c>
      <c r="H25" s="240" t="s">
        <v>385</v>
      </c>
    </row>
    <row r="26" spans="1:10" ht="27" customHeight="1">
      <c r="A26" s="239" t="s">
        <v>384</v>
      </c>
      <c r="B26" s="235" t="s">
        <v>434</v>
      </c>
      <c r="C26" s="212">
        <v>1</v>
      </c>
      <c r="D26" s="219"/>
      <c r="E26" s="211">
        <f>E4</f>
        <v>0</v>
      </c>
      <c r="F26" s="219"/>
      <c r="G26" s="212"/>
      <c r="H26" s="219"/>
    </row>
    <row r="27" spans="1:10" ht="26" customHeight="1">
      <c r="A27" s="230" t="s">
        <v>378</v>
      </c>
      <c r="B27" s="212" t="s">
        <v>427</v>
      </c>
      <c r="C27" s="210" t="s">
        <v>401</v>
      </c>
      <c r="D27" s="214"/>
      <c r="E27" s="215">
        <f>E4</f>
        <v>0</v>
      </c>
      <c r="F27" s="214"/>
      <c r="G27" s="210"/>
      <c r="H27" s="210">
        <f>IF('Pricing Worksheet'!C35,"Yes",0)</f>
        <v>0</v>
      </c>
    </row>
    <row r="28" spans="1:10" ht="26" customHeight="1">
      <c r="A28" s="230" t="s">
        <v>378</v>
      </c>
      <c r="B28" s="212" t="s">
        <v>426</v>
      </c>
      <c r="C28" s="210">
        <v>2</v>
      </c>
      <c r="D28" s="214"/>
      <c r="E28" s="215">
        <f>E4</f>
        <v>0</v>
      </c>
      <c r="F28" s="214"/>
      <c r="G28" s="210"/>
      <c r="H28" s="210">
        <f>IF('Pricing Worksheet'!C35,"Yes",0)</f>
        <v>0</v>
      </c>
    </row>
    <row r="29" spans="1:10" ht="26" customHeight="1">
      <c r="A29" s="230" t="s">
        <v>378</v>
      </c>
      <c r="B29" s="212" t="s">
        <v>440</v>
      </c>
      <c r="C29" s="210">
        <v>2</v>
      </c>
      <c r="D29" s="210"/>
      <c r="E29" s="211">
        <f>E4</f>
        <v>0</v>
      </c>
      <c r="F29" s="210"/>
      <c r="G29" s="210"/>
      <c r="H29" s="210">
        <f>IF('Pricing Worksheet'!C42,"Yes",0)</f>
        <v>0</v>
      </c>
      <c r="I29" t="s">
        <v>472</v>
      </c>
    </row>
    <row r="30" spans="1:10" ht="26" customHeight="1">
      <c r="A30" s="229" t="s">
        <v>403</v>
      </c>
      <c r="B30" s="212" t="s">
        <v>452</v>
      </c>
      <c r="C30" s="210" t="s">
        <v>401</v>
      </c>
      <c r="D30" s="214"/>
      <c r="E30" s="211">
        <f>E4</f>
        <v>0</v>
      </c>
      <c r="F30" s="214"/>
      <c r="G30" s="210"/>
      <c r="H30" s="210">
        <f>IF('Pricing Worksheet'!C45,"Yes",0)</f>
        <v>0</v>
      </c>
    </row>
    <row r="31" spans="1:10" ht="27" customHeight="1">
      <c r="A31" s="234" t="s">
        <v>347</v>
      </c>
      <c r="B31" s="212" t="s">
        <v>422</v>
      </c>
      <c r="C31" s="210">
        <v>2</v>
      </c>
      <c r="D31" s="210"/>
      <c r="E31" s="211">
        <f>E4</f>
        <v>0</v>
      </c>
      <c r="F31" s="210"/>
      <c r="G31" s="210"/>
      <c r="H31" s="210">
        <f>IF('Pricing Worksheet'!C31,"Split Bed",0)</f>
        <v>0</v>
      </c>
      <c r="I31" t="s">
        <v>461</v>
      </c>
    </row>
    <row r="32" spans="1:10" ht="27" customHeight="1">
      <c r="A32" s="234" t="s">
        <v>347</v>
      </c>
      <c r="B32" s="212" t="s">
        <v>421</v>
      </c>
      <c r="C32" s="210">
        <v>1</v>
      </c>
      <c r="D32" s="210"/>
      <c r="E32" s="215">
        <f>E4</f>
        <v>0</v>
      </c>
      <c r="F32" s="210"/>
      <c r="G32" s="210"/>
      <c r="H32" s="210" t="str">
        <f>IF('Pricing Worksheet'!C28,"Yes",0)</f>
        <v>Yes</v>
      </c>
    </row>
    <row r="33" spans="1:9" ht="26" customHeight="1">
      <c r="A33" s="234" t="s">
        <v>347</v>
      </c>
      <c r="B33" s="212" t="s">
        <v>418</v>
      </c>
      <c r="C33" s="210">
        <v>2</v>
      </c>
      <c r="D33" s="210"/>
      <c r="E33" s="215">
        <f>E4</f>
        <v>0</v>
      </c>
      <c r="F33" s="210"/>
      <c r="G33" s="210"/>
      <c r="H33" s="210"/>
    </row>
    <row r="34" spans="1:9" ht="27" customHeight="1">
      <c r="A34" s="226" t="s">
        <v>397</v>
      </c>
      <c r="B34" s="212" t="s">
        <v>416</v>
      </c>
      <c r="C34" s="210" t="s">
        <v>401</v>
      </c>
      <c r="D34" s="210"/>
      <c r="E34" s="215">
        <f>E4</f>
        <v>0</v>
      </c>
      <c r="F34" s="210"/>
      <c r="G34" s="210"/>
      <c r="H34" s="210"/>
    </row>
    <row r="35" spans="1:9" ht="25" customHeight="1">
      <c r="A35" s="245" t="s">
        <v>397</v>
      </c>
      <c r="B35" s="212" t="s">
        <v>451</v>
      </c>
      <c r="C35" s="210">
        <v>1</v>
      </c>
      <c r="D35" s="210"/>
      <c r="E35" s="211">
        <f>E4</f>
        <v>0</v>
      </c>
      <c r="F35" s="210"/>
      <c r="G35" s="210"/>
      <c r="H35" s="210" t="str">
        <f>'Pricing Worksheet'!I22</f>
        <v>CHOOSE DESIGN</v>
      </c>
    </row>
    <row r="36" spans="1:9" ht="25" customHeight="1">
      <c r="A36" s="245" t="s">
        <v>397</v>
      </c>
      <c r="B36" s="212" t="s">
        <v>470</v>
      </c>
      <c r="C36" s="210" t="s">
        <v>448</v>
      </c>
      <c r="D36" s="210"/>
      <c r="E36" s="211">
        <f>E4</f>
        <v>0</v>
      </c>
      <c r="F36" s="210"/>
      <c r="G36" s="210"/>
      <c r="H36" s="210" t="str">
        <f>IF('Pricing Worksheet'!C28,"Yes front bin",0)</f>
        <v>Yes front bin</v>
      </c>
      <c r="I36" t="s">
        <v>450</v>
      </c>
    </row>
    <row r="37" spans="1:9" ht="27" customHeight="1">
      <c r="A37" s="245" t="s">
        <v>397</v>
      </c>
      <c r="B37" s="212" t="s">
        <v>449</v>
      </c>
      <c r="C37" s="210" t="s">
        <v>448</v>
      </c>
      <c r="D37" s="210"/>
      <c r="E37" s="211">
        <f>E4</f>
        <v>0</v>
      </c>
      <c r="F37" s="210"/>
      <c r="G37" s="210"/>
      <c r="H37" s="210" t="str">
        <f>'Pricing Worksheet'!I19</f>
        <v>CHOOSE COLOR</v>
      </c>
    </row>
    <row r="38" spans="1:9" ht="100" customHeight="1">
      <c r="A38" s="221"/>
      <c r="B38" s="208"/>
      <c r="C38" s="206"/>
      <c r="D38" s="242"/>
      <c r="E38" s="206"/>
      <c r="F38" s="242"/>
      <c r="G38" s="206"/>
      <c r="H38" s="206"/>
    </row>
    <row r="39" spans="1:9" ht="34">
      <c r="A39" s="221"/>
      <c r="B39" s="225" t="s">
        <v>414</v>
      </c>
      <c r="C39" s="224"/>
      <c r="D39" s="221"/>
      <c r="E39" s="215"/>
      <c r="F39" s="221"/>
      <c r="G39" s="221"/>
      <c r="H39" s="221"/>
    </row>
    <row r="40" spans="1:9" ht="37">
      <c r="A40" s="221"/>
      <c r="B40" s="223" t="str">
        <f>'Pricing Worksheet'!F2</f>
        <v>Minimalist</v>
      </c>
      <c r="C40" s="252" t="s">
        <v>375</v>
      </c>
      <c r="D40" s="222">
        <f>'Build Sheet'!G2</f>
        <v>0</v>
      </c>
      <c r="E40" s="222">
        <f>'Pricing Worksheet'!I6</f>
        <v>0</v>
      </c>
      <c r="F40" s="222"/>
      <c r="G40" s="221"/>
      <c r="H40" s="221" t="s">
        <v>474</v>
      </c>
    </row>
    <row r="41" spans="1:9" ht="34">
      <c r="A41" s="221"/>
      <c r="B41" s="220" t="s">
        <v>391</v>
      </c>
      <c r="C41" s="219" t="s">
        <v>390</v>
      </c>
      <c r="D41" s="219" t="s">
        <v>389</v>
      </c>
      <c r="E41" s="219" t="s">
        <v>388</v>
      </c>
      <c r="F41" s="219" t="s">
        <v>387</v>
      </c>
      <c r="G41" s="219" t="s">
        <v>386</v>
      </c>
      <c r="H41" s="219" t="s">
        <v>385</v>
      </c>
    </row>
    <row r="42" spans="1:9" ht="26" customHeight="1">
      <c r="A42" s="232" t="s">
        <v>407</v>
      </c>
      <c r="B42" s="212" t="s">
        <v>413</v>
      </c>
      <c r="C42" s="210">
        <v>1</v>
      </c>
      <c r="D42" s="214"/>
      <c r="E42" s="211">
        <f>E4</f>
        <v>0</v>
      </c>
      <c r="F42" s="214"/>
      <c r="G42" s="210"/>
      <c r="H42" s="210" t="str">
        <f>IF('Pricing Worksheet'!C28,"Yes front bin",0)</f>
        <v>Yes front bin</v>
      </c>
      <c r="I42" t="s">
        <v>412</v>
      </c>
    </row>
    <row r="43" spans="1:9" ht="25" customHeight="1">
      <c r="A43" s="232" t="s">
        <v>407</v>
      </c>
      <c r="B43" s="212" t="s">
        <v>411</v>
      </c>
      <c r="C43" s="210">
        <v>1</v>
      </c>
      <c r="D43" s="214"/>
      <c r="E43" s="215">
        <f>E4</f>
        <v>0</v>
      </c>
      <c r="F43" s="214"/>
      <c r="G43" s="210"/>
      <c r="H43" s="210"/>
    </row>
    <row r="44" spans="1:9" ht="25" customHeight="1">
      <c r="A44" s="232" t="s">
        <v>407</v>
      </c>
      <c r="B44" s="212" t="s">
        <v>410</v>
      </c>
      <c r="C44" s="210" t="s">
        <v>409</v>
      </c>
      <c r="D44" s="214"/>
      <c r="E44" s="215">
        <f>E4</f>
        <v>0</v>
      </c>
      <c r="F44" s="214"/>
      <c r="G44" s="210"/>
      <c r="H44" s="210"/>
    </row>
    <row r="45" spans="1:9" ht="26" customHeight="1">
      <c r="A45" s="231" t="s">
        <v>407</v>
      </c>
      <c r="B45" s="212" t="s">
        <v>408</v>
      </c>
      <c r="C45" s="210">
        <v>1</v>
      </c>
      <c r="D45" s="210"/>
      <c r="E45" s="215">
        <f>E4</f>
        <v>0</v>
      </c>
      <c r="F45" s="210"/>
      <c r="G45" s="210"/>
      <c r="H45" s="210"/>
    </row>
    <row r="46" spans="1:9" ht="25" customHeight="1">
      <c r="A46" s="231" t="s">
        <v>407</v>
      </c>
      <c r="B46" s="212" t="s">
        <v>406</v>
      </c>
      <c r="C46" s="210">
        <v>2</v>
      </c>
      <c r="D46" s="210"/>
      <c r="E46" s="215">
        <f>E4</f>
        <v>0</v>
      </c>
      <c r="F46" s="210"/>
      <c r="G46" s="210"/>
      <c r="H46" s="210"/>
    </row>
    <row r="47" spans="1:9" ht="26" customHeight="1">
      <c r="A47" s="231" t="s">
        <v>407</v>
      </c>
      <c r="B47" s="246" t="s">
        <v>457</v>
      </c>
      <c r="C47" s="210">
        <v>1</v>
      </c>
      <c r="D47" s="210"/>
      <c r="E47" s="211">
        <f>E46</f>
        <v>0</v>
      </c>
      <c r="F47" s="210"/>
      <c r="G47" s="210"/>
      <c r="H47" s="214"/>
    </row>
    <row r="48" spans="1:9" ht="26" customHeight="1">
      <c r="A48" s="230" t="s">
        <v>378</v>
      </c>
      <c r="B48" s="212" t="s">
        <v>405</v>
      </c>
      <c r="C48" s="210">
        <v>2</v>
      </c>
      <c r="D48" s="210"/>
      <c r="E48" s="215">
        <f>E4</f>
        <v>0</v>
      </c>
      <c r="F48" s="210"/>
      <c r="G48" s="210"/>
      <c r="H48" s="210"/>
    </row>
    <row r="49" spans="1:10" ht="27" customHeight="1">
      <c r="A49" s="229" t="s">
        <v>403</v>
      </c>
      <c r="B49" s="212" t="s">
        <v>404</v>
      </c>
      <c r="C49" s="210" t="s">
        <v>401</v>
      </c>
      <c r="D49" s="210"/>
      <c r="E49" s="215">
        <f>E4</f>
        <v>0</v>
      </c>
      <c r="F49" s="210"/>
      <c r="G49" s="210"/>
      <c r="H49" s="210"/>
    </row>
    <row r="50" spans="1:10" ht="26" customHeight="1">
      <c r="A50" s="229" t="s">
        <v>403</v>
      </c>
      <c r="B50" s="228" t="s">
        <v>402</v>
      </c>
      <c r="C50" s="210" t="s">
        <v>401</v>
      </c>
      <c r="D50" s="210"/>
      <c r="E50" s="215">
        <f>E4</f>
        <v>0</v>
      </c>
      <c r="F50" s="210"/>
      <c r="G50" s="210"/>
      <c r="H50" s="210" t="str">
        <f>'Pricing Worksheet'!I38</f>
        <v>CHOOSE COLOR</v>
      </c>
    </row>
    <row r="51" spans="1:10" ht="26" customHeight="1">
      <c r="A51" s="227" t="s">
        <v>15</v>
      </c>
      <c r="B51" s="212" t="s">
        <v>400</v>
      </c>
      <c r="C51" s="214">
        <v>1</v>
      </c>
      <c r="D51" s="210"/>
      <c r="E51" s="215">
        <f>E4</f>
        <v>0</v>
      </c>
      <c r="F51" s="210"/>
      <c r="G51" s="210"/>
      <c r="H51" s="210" t="str">
        <f>'Pricing Worksheet'!I38</f>
        <v>CHOOSE COLOR</v>
      </c>
    </row>
    <row r="52" spans="1:10" ht="26" customHeight="1">
      <c r="A52" s="227" t="s">
        <v>15</v>
      </c>
      <c r="B52" s="212" t="s">
        <v>399</v>
      </c>
      <c r="C52" s="210">
        <v>2</v>
      </c>
      <c r="D52" s="210"/>
      <c r="E52" s="211">
        <f>E4</f>
        <v>0</v>
      </c>
      <c r="F52" s="210"/>
      <c r="G52" s="210"/>
      <c r="H52" s="210"/>
    </row>
    <row r="53" spans="1:10" ht="26" customHeight="1">
      <c r="A53" s="226" t="s">
        <v>397</v>
      </c>
      <c r="B53" s="212" t="s">
        <v>398</v>
      </c>
      <c r="C53" s="210">
        <v>2</v>
      </c>
      <c r="D53" s="210"/>
      <c r="E53" s="211">
        <f>E4</f>
        <v>0</v>
      </c>
      <c r="F53" s="210"/>
      <c r="G53" s="210"/>
      <c r="H53" s="210"/>
    </row>
    <row r="54" spans="1:10" ht="26" customHeight="1">
      <c r="A54" s="226" t="s">
        <v>397</v>
      </c>
      <c r="B54" s="212" t="s">
        <v>396</v>
      </c>
      <c r="C54" s="210">
        <v>2</v>
      </c>
      <c r="D54" s="210"/>
      <c r="E54" s="211">
        <f>E4</f>
        <v>0</v>
      </c>
      <c r="F54" s="210"/>
      <c r="G54" s="210"/>
      <c r="H54" s="210" t="str">
        <f>'Pricing Worksheet'!I47</f>
        <v>CHOOSE COLOR</v>
      </c>
    </row>
    <row r="55" spans="1:10" ht="25" customHeight="1">
      <c r="A55" s="213" t="s">
        <v>37</v>
      </c>
      <c r="B55" s="212" t="s">
        <v>395</v>
      </c>
      <c r="C55" s="210">
        <v>2</v>
      </c>
      <c r="D55" s="210"/>
      <c r="E55" s="211">
        <f>E4</f>
        <v>0</v>
      </c>
      <c r="F55" s="210"/>
      <c r="G55" s="210"/>
      <c r="H55" s="210"/>
    </row>
    <row r="56" spans="1:10" ht="27" customHeight="1">
      <c r="A56" s="213" t="s">
        <v>37</v>
      </c>
      <c r="B56" s="212" t="s">
        <v>394</v>
      </c>
      <c r="C56" s="210">
        <v>1</v>
      </c>
      <c r="D56" s="210"/>
      <c r="E56" s="211">
        <f>E4</f>
        <v>0</v>
      </c>
      <c r="F56" s="210"/>
      <c r="G56" s="210"/>
      <c r="H56" s="210">
        <f>IF('Pricing Worksheet'!C31,"Split Bed",0)</f>
        <v>0</v>
      </c>
      <c r="I56" t="s">
        <v>461</v>
      </c>
    </row>
    <row r="57" spans="1:10" ht="100" customHeight="1">
      <c r="A57" s="209"/>
      <c r="B57" s="208"/>
      <c r="C57" s="206"/>
      <c r="D57" s="206"/>
      <c r="E57" s="206"/>
      <c r="F57" s="206"/>
      <c r="G57" s="206"/>
      <c r="H57" s="206"/>
    </row>
    <row r="58" spans="1:10" ht="34">
      <c r="A58" s="221"/>
      <c r="B58" s="225" t="s">
        <v>393</v>
      </c>
      <c r="C58" s="224"/>
      <c r="D58" s="221"/>
      <c r="E58" s="221"/>
      <c r="F58" s="221"/>
      <c r="G58" s="221"/>
      <c r="H58" s="221"/>
    </row>
    <row r="59" spans="1:10" ht="37">
      <c r="A59" s="221"/>
      <c r="B59" s="223" t="str">
        <f>'Pricing Worksheet'!F2</f>
        <v>Minimalist</v>
      </c>
      <c r="C59" s="252" t="s">
        <v>375</v>
      </c>
      <c r="D59" s="222">
        <f>'Build Sheet'!G2</f>
        <v>0</v>
      </c>
      <c r="E59" s="222">
        <f>'Pricing Worksheet'!I6</f>
        <v>0</v>
      </c>
      <c r="F59" s="222"/>
      <c r="G59" s="221"/>
      <c r="H59" s="221" t="s">
        <v>392</v>
      </c>
    </row>
    <row r="60" spans="1:10" ht="34">
      <c r="A60" s="221"/>
      <c r="B60" s="220" t="s">
        <v>391</v>
      </c>
      <c r="C60" s="219" t="s">
        <v>390</v>
      </c>
      <c r="D60" s="219" t="s">
        <v>389</v>
      </c>
      <c r="E60" s="219" t="s">
        <v>388</v>
      </c>
      <c r="F60" s="219" t="s">
        <v>387</v>
      </c>
      <c r="G60" s="219" t="s">
        <v>386</v>
      </c>
      <c r="H60" s="219" t="s">
        <v>385</v>
      </c>
    </row>
    <row r="61" spans="1:10" ht="26" customHeight="1">
      <c r="A61" s="218" t="s">
        <v>384</v>
      </c>
      <c r="B61" s="212" t="s">
        <v>383</v>
      </c>
      <c r="C61" s="210">
        <v>1</v>
      </c>
      <c r="D61" s="214"/>
      <c r="E61" s="211">
        <f>E4</f>
        <v>0</v>
      </c>
      <c r="F61" s="214"/>
      <c r="G61" s="210"/>
      <c r="H61" s="210"/>
    </row>
    <row r="62" spans="1:10" ht="27" customHeight="1">
      <c r="A62" s="217" t="s">
        <v>382</v>
      </c>
      <c r="B62" s="212" t="s">
        <v>381</v>
      </c>
      <c r="C62" s="210">
        <v>1</v>
      </c>
      <c r="D62" s="214"/>
      <c r="E62" s="215">
        <f>E4</f>
        <v>0</v>
      </c>
      <c r="F62" s="214"/>
      <c r="G62" s="210"/>
      <c r="H62" s="210">
        <f>IF('Pricing Worksheet'!C14,"Yes",0)</f>
        <v>0</v>
      </c>
      <c r="I62">
        <f>IF('Pricing Worksheet'!C15,"Yes",0)</f>
        <v>0</v>
      </c>
      <c r="J62" t="s">
        <v>149</v>
      </c>
    </row>
    <row r="63" spans="1:10" ht="27" customHeight="1">
      <c r="A63" s="217" t="s">
        <v>382</v>
      </c>
      <c r="B63" s="212" t="s">
        <v>473</v>
      </c>
      <c r="C63" s="210">
        <v>1</v>
      </c>
      <c r="D63" s="214"/>
      <c r="E63" s="215">
        <f>E4</f>
        <v>0</v>
      </c>
      <c r="F63" s="214"/>
      <c r="G63" s="210"/>
      <c r="H63" s="210"/>
    </row>
    <row r="64" spans="1:10" ht="26" customHeight="1">
      <c r="A64" s="230" t="s">
        <v>378</v>
      </c>
      <c r="B64" s="212" t="s">
        <v>424</v>
      </c>
      <c r="C64" s="210">
        <v>2</v>
      </c>
      <c r="D64" s="210"/>
      <c r="E64" s="215">
        <f>E4</f>
        <v>0</v>
      </c>
      <c r="F64" s="210"/>
      <c r="G64" s="210"/>
      <c r="H64" s="210"/>
    </row>
    <row r="65" spans="1:11" ht="26" customHeight="1">
      <c r="A65" s="216" t="s">
        <v>378</v>
      </c>
      <c r="B65" s="212" t="s">
        <v>380</v>
      </c>
      <c r="C65" s="210">
        <v>1</v>
      </c>
      <c r="D65" s="214"/>
      <c r="E65" s="215">
        <f>E4</f>
        <v>0</v>
      </c>
      <c r="F65" s="214"/>
      <c r="G65" s="210"/>
      <c r="H65" s="210">
        <f>IF('Pricing Worksheet'!C35,"Yes",0)</f>
        <v>0</v>
      </c>
      <c r="I65">
        <f>IF('Pricing Worksheet'!C36,"Yes",0)</f>
        <v>0</v>
      </c>
      <c r="J65" t="s">
        <v>379</v>
      </c>
    </row>
    <row r="66" spans="1:11" ht="27" customHeight="1">
      <c r="A66" s="216" t="s">
        <v>378</v>
      </c>
      <c r="B66" s="212" t="s">
        <v>377</v>
      </c>
      <c r="C66" s="210">
        <v>1</v>
      </c>
      <c r="D66" s="214"/>
      <c r="E66" s="215">
        <f>E4</f>
        <v>0</v>
      </c>
      <c r="F66" s="214"/>
      <c r="G66" s="210"/>
      <c r="H66" s="210">
        <f>IF('Pricing Worksheet'!C35,"Yes",0)</f>
        <v>0</v>
      </c>
    </row>
    <row r="67" spans="1:11" ht="26" customHeight="1">
      <c r="A67" s="230" t="s">
        <v>378</v>
      </c>
      <c r="B67" s="212" t="s">
        <v>425</v>
      </c>
      <c r="C67" s="210">
        <v>4</v>
      </c>
      <c r="D67" s="214"/>
      <c r="E67" s="215">
        <f>E4</f>
        <v>0</v>
      </c>
      <c r="F67" s="214"/>
      <c r="G67" s="210"/>
      <c r="H67" s="210"/>
    </row>
    <row r="68" spans="1:11" ht="26" customHeight="1">
      <c r="A68" s="229" t="s">
        <v>403</v>
      </c>
      <c r="B68" s="212" t="s">
        <v>467</v>
      </c>
      <c r="C68" s="210" t="s">
        <v>468</v>
      </c>
      <c r="D68" s="210"/>
      <c r="E68" s="215">
        <f>E4</f>
        <v>0</v>
      </c>
      <c r="F68" s="210"/>
      <c r="G68" s="210"/>
      <c r="H68" s="210"/>
    </row>
    <row r="69" spans="1:11" ht="26" customHeight="1">
      <c r="A69" s="229" t="s">
        <v>403</v>
      </c>
      <c r="B69" s="212" t="s">
        <v>423</v>
      </c>
      <c r="C69" s="210" t="s">
        <v>401</v>
      </c>
      <c r="D69" s="210"/>
      <c r="E69" s="215">
        <f>E4</f>
        <v>0</v>
      </c>
      <c r="F69" s="210"/>
      <c r="G69" s="210"/>
      <c r="H69" s="210"/>
    </row>
    <row r="70" spans="1:11" ht="26" customHeight="1">
      <c r="A70" s="234" t="s">
        <v>347</v>
      </c>
      <c r="B70" s="212" t="s">
        <v>420</v>
      </c>
      <c r="C70" s="210">
        <v>1</v>
      </c>
      <c r="D70" s="210"/>
      <c r="E70" s="215">
        <f>E4</f>
        <v>0</v>
      </c>
      <c r="F70" s="210"/>
      <c r="G70" s="210"/>
      <c r="H70" s="210">
        <f>IF('Pricing Worksheet'!C30,"Yes Foli",0)</f>
        <v>0</v>
      </c>
      <c r="I70" t="s">
        <v>359</v>
      </c>
      <c r="J70">
        <f>IF('Pricing Worksheet'!C31,"Yes",0)</f>
        <v>0</v>
      </c>
      <c r="K70" t="s">
        <v>461</v>
      </c>
    </row>
    <row r="71" spans="1:11" ht="26" customHeight="1">
      <c r="A71" s="213" t="s">
        <v>37</v>
      </c>
      <c r="B71" s="212" t="s">
        <v>376</v>
      </c>
      <c r="C71" s="210">
        <v>2</v>
      </c>
      <c r="D71" s="210"/>
      <c r="E71" s="211">
        <f>E4</f>
        <v>0</v>
      </c>
      <c r="F71" s="210"/>
      <c r="G71" s="210"/>
      <c r="H71" s="210"/>
    </row>
    <row r="72" spans="1:11" ht="92" customHeight="1">
      <c r="A72" s="209"/>
      <c r="B72" s="208"/>
      <c r="C72" s="206"/>
      <c r="D72" s="206"/>
      <c r="E72" s="207"/>
      <c r="F72" s="206"/>
      <c r="G72" s="206"/>
      <c r="H72" s="206"/>
    </row>
    <row r="73" spans="1:11" ht="34">
      <c r="A73" s="221"/>
      <c r="B73" s="225" t="s">
        <v>471</v>
      </c>
      <c r="C73" s="224"/>
      <c r="D73" s="221"/>
      <c r="E73" s="221"/>
      <c r="F73" s="221"/>
      <c r="G73" s="221"/>
      <c r="H73" s="221"/>
    </row>
    <row r="74" spans="1:11" ht="37">
      <c r="A74" s="221"/>
      <c r="B74" s="223" t="str">
        <f>'Pricing Worksheet'!F2</f>
        <v>Minimalist</v>
      </c>
      <c r="C74" s="252" t="s">
        <v>375</v>
      </c>
      <c r="D74" s="222">
        <f>'Build Sheet'!G2</f>
        <v>0</v>
      </c>
      <c r="E74" s="222">
        <f>'Pricing Worksheet'!I6</f>
        <v>0</v>
      </c>
      <c r="F74" s="222"/>
      <c r="G74" s="221"/>
      <c r="H74" s="221" t="s">
        <v>469</v>
      </c>
    </row>
    <row r="75" spans="1:11" ht="34">
      <c r="A75" s="221"/>
      <c r="B75" s="220" t="s">
        <v>391</v>
      </c>
      <c r="C75" s="219" t="s">
        <v>390</v>
      </c>
      <c r="D75" s="219" t="s">
        <v>389</v>
      </c>
      <c r="E75" s="219" t="s">
        <v>388</v>
      </c>
      <c r="F75" s="219" t="s">
        <v>387</v>
      </c>
      <c r="G75" s="219" t="s">
        <v>386</v>
      </c>
      <c r="H75" s="219" t="s">
        <v>385</v>
      </c>
    </row>
    <row r="76" spans="1:11" ht="26" customHeight="1">
      <c r="A76" s="238" t="s">
        <v>382</v>
      </c>
      <c r="B76" s="235" t="s">
        <v>433</v>
      </c>
      <c r="C76" s="210" t="s">
        <v>432</v>
      </c>
      <c r="D76" s="219"/>
      <c r="E76" s="215">
        <f>E4</f>
        <v>0</v>
      </c>
      <c r="F76" s="219"/>
      <c r="G76" s="212" t="s">
        <v>464</v>
      </c>
      <c r="H76" s="212">
        <f>IF('Pricing Worksheet'!C14,"Yes",0)</f>
        <v>0</v>
      </c>
      <c r="I76">
        <f>IF('Pricing Worksheet'!C15,"Yes",0)</f>
        <v>0</v>
      </c>
      <c r="J76" t="s">
        <v>149</v>
      </c>
    </row>
    <row r="77" spans="1:11" ht="26" customHeight="1">
      <c r="A77" s="216" t="s">
        <v>378</v>
      </c>
      <c r="B77" s="212" t="s">
        <v>429</v>
      </c>
      <c r="C77" s="210" t="s">
        <v>428</v>
      </c>
      <c r="D77" s="210"/>
      <c r="E77" s="215">
        <f>E4</f>
        <v>0</v>
      </c>
      <c r="F77" s="210"/>
      <c r="G77" s="210" t="s">
        <v>465</v>
      </c>
      <c r="H77" s="210"/>
    </row>
    <row r="78" spans="1:11" ht="26" customHeight="1">
      <c r="A78" s="230" t="s">
        <v>378</v>
      </c>
      <c r="B78" s="212" t="s">
        <v>462</v>
      </c>
      <c r="C78" s="210">
        <v>2</v>
      </c>
      <c r="D78" s="210"/>
      <c r="E78" s="215">
        <f>E4</f>
        <v>0</v>
      </c>
      <c r="F78" s="210"/>
      <c r="G78" s="210" t="s">
        <v>463</v>
      </c>
      <c r="H78" s="210"/>
    </row>
    <row r="79" spans="1:11" ht="27" customHeight="1">
      <c r="A79" s="234" t="s">
        <v>347</v>
      </c>
      <c r="B79" s="212" t="s">
        <v>419</v>
      </c>
      <c r="C79" s="210">
        <v>2</v>
      </c>
      <c r="D79" s="214"/>
      <c r="E79" s="215">
        <f>E4</f>
        <v>0</v>
      </c>
      <c r="F79" s="214"/>
      <c r="G79" s="210" t="s">
        <v>463</v>
      </c>
      <c r="H79" s="210"/>
    </row>
    <row r="80" spans="1:11" ht="26" customHeight="1">
      <c r="A80" s="226" t="s">
        <v>397</v>
      </c>
      <c r="B80" s="212" t="s">
        <v>417</v>
      </c>
      <c r="C80" s="210" t="s">
        <v>401</v>
      </c>
      <c r="D80" s="210"/>
      <c r="E80" s="215">
        <f>E4</f>
        <v>0</v>
      </c>
      <c r="F80" s="210"/>
      <c r="G80" s="210" t="s">
        <v>465</v>
      </c>
      <c r="H80" s="210"/>
    </row>
    <row r="81" spans="1:8" ht="26" customHeight="1">
      <c r="A81" s="233" t="s">
        <v>37</v>
      </c>
      <c r="B81" s="212" t="s">
        <v>415</v>
      </c>
      <c r="C81" s="210">
        <v>1</v>
      </c>
      <c r="D81" s="210"/>
      <c r="E81" s="215">
        <f>E4</f>
        <v>0</v>
      </c>
      <c r="F81" s="210"/>
      <c r="G81" s="210" t="s">
        <v>465</v>
      </c>
      <c r="H81" s="210"/>
    </row>
    <row r="82" spans="1:8" ht="92" customHeight="1">
      <c r="A82" s="209"/>
      <c r="B82" s="208"/>
      <c r="C82" s="206"/>
      <c r="D82" s="206"/>
      <c r="E82" s="207"/>
      <c r="F82" s="206"/>
      <c r="G82" s="206"/>
      <c r="H82" s="206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2025-08-05T13:57:45Z</cp:lastPrinted>
  <dcterms:created xsi:type="dcterms:W3CDTF">2013-05-30T20:58:06Z</dcterms:created>
  <dcterms:modified xsi:type="dcterms:W3CDTF">2025-09-18T16:53:43Z</dcterms:modified>
</cp:coreProperties>
</file>